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45" windowWidth="14805" windowHeight="7770" activeTab="3"/>
  </bookViews>
  <sheets>
    <sheet name="Sheet1" sheetId="1" r:id="rId1"/>
    <sheet name="Sheet2" sheetId="2" r:id="rId2"/>
    <sheet name="Sheet3" sheetId="3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Y12" i="2" l="1"/>
  <c r="Z12" i="2"/>
  <c r="Y13" i="2"/>
  <c r="Z13" i="2"/>
  <c r="Y14" i="2"/>
  <c r="Z14" i="2"/>
  <c r="D11" i="3"/>
  <c r="J11" i="3"/>
  <c r="D11" i="4"/>
  <c r="AA4" i="4" l="1"/>
  <c r="AA5" i="4"/>
  <c r="AA6" i="4"/>
  <c r="AA7" i="4"/>
  <c r="AA9" i="4"/>
  <c r="AA8" i="4" s="1"/>
  <c r="AA10" i="4"/>
  <c r="AA12" i="4"/>
  <c r="AA13" i="4"/>
  <c r="AA14" i="4"/>
  <c r="AA16" i="4"/>
  <c r="AA17" i="4"/>
  <c r="AA18" i="4"/>
  <c r="AA19" i="4"/>
  <c r="AA20" i="4"/>
  <c r="AA21" i="4"/>
  <c r="AA23" i="4"/>
  <c r="AA24" i="4"/>
  <c r="AA25" i="4"/>
  <c r="AA26" i="4"/>
  <c r="AA27" i="4"/>
  <c r="AA28" i="4"/>
  <c r="AA29" i="4"/>
  <c r="AA30" i="4"/>
  <c r="AA31" i="4"/>
  <c r="AA33" i="4"/>
  <c r="AA34" i="4"/>
  <c r="AA35" i="4"/>
  <c r="AA32" i="4" s="1"/>
  <c r="AA36" i="4"/>
  <c r="AA37" i="4"/>
  <c r="AA38" i="4"/>
  <c r="AA40" i="4"/>
  <c r="AA41" i="4"/>
  <c r="AA42" i="4"/>
  <c r="AA43" i="4"/>
  <c r="AA44" i="4"/>
  <c r="AA45" i="4"/>
  <c r="AA46" i="4"/>
  <c r="AA3" i="4"/>
  <c r="D39" i="4"/>
  <c r="D32" i="4"/>
  <c r="D22" i="4"/>
  <c r="D15" i="4"/>
  <c r="D8" i="4"/>
  <c r="AA15" i="4" l="1"/>
  <c r="AA11" i="4"/>
  <c r="AA39" i="4"/>
  <c r="AA22" i="4"/>
  <c r="M45" i="3"/>
  <c r="G44" i="3"/>
  <c r="E39" i="3"/>
  <c r="L43" i="3"/>
  <c r="H38" i="3"/>
  <c r="F37" i="3"/>
  <c r="G36" i="3"/>
  <c r="K35" i="3"/>
  <c r="E32" i="3" s="1"/>
  <c r="F31" i="3"/>
  <c r="G30" i="3"/>
  <c r="F29" i="3"/>
  <c r="G28" i="3"/>
  <c r="H27" i="3"/>
  <c r="H26" i="3"/>
  <c r="J26" i="3" s="1"/>
  <c r="L26" i="3" s="1"/>
  <c r="N26" i="3" s="1"/>
  <c r="F26" i="3"/>
  <c r="F25" i="3"/>
  <c r="F21" i="3"/>
  <c r="F20" i="3"/>
  <c r="H20" i="3" s="1"/>
  <c r="F19" i="3"/>
  <c r="N22" i="3" l="1"/>
  <c r="H15" i="3"/>
  <c r="F6" i="3"/>
  <c r="H6" i="3" s="1"/>
  <c r="J6" i="3" s="1"/>
  <c r="F5" i="3"/>
  <c r="H5" i="3" s="1"/>
  <c r="F4" i="3"/>
  <c r="H4" i="3" s="1"/>
  <c r="J4" i="3" s="1"/>
  <c r="L4" i="3" s="1"/>
  <c r="N4" i="3" s="1"/>
  <c r="F3" i="3"/>
  <c r="H3" i="3" s="1"/>
  <c r="J3" i="3" s="1"/>
  <c r="L3" i="3" s="1"/>
  <c r="D39" i="3"/>
  <c r="Y34" i="3"/>
  <c r="Z34" i="3" s="1"/>
  <c r="Y33" i="3"/>
  <c r="Z33" i="3" s="1"/>
  <c r="D32" i="3"/>
  <c r="D22" i="3"/>
  <c r="D15" i="3"/>
  <c r="D8" i="3"/>
  <c r="F8" i="3" s="1"/>
  <c r="H8" i="3" s="1"/>
  <c r="M35" i="2" l="1"/>
  <c r="M38" i="2" s="1"/>
  <c r="F38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R4" i="2"/>
  <c r="S41" i="2"/>
  <c r="S40" i="2"/>
  <c r="S34" i="2"/>
  <c r="S33" i="2"/>
  <c r="S32" i="2"/>
  <c r="S30" i="2"/>
  <c r="S25" i="2"/>
  <c r="S18" i="2"/>
  <c r="S11" i="2"/>
  <c r="S8" i="2"/>
  <c r="S35" i="2"/>
  <c r="Y3" i="2"/>
  <c r="Z3" i="2" s="1"/>
  <c r="S49" i="2"/>
  <c r="S48" i="2"/>
  <c r="S47" i="2"/>
  <c r="S42" i="2"/>
  <c r="S31" i="2"/>
  <c r="S7" i="2"/>
  <c r="S6" i="2"/>
  <c r="S5" i="2"/>
  <c r="S4" i="2"/>
  <c r="S3" i="2"/>
  <c r="R5" i="2" s="1"/>
  <c r="Y42" i="2"/>
  <c r="Z42" i="2" s="1"/>
  <c r="Y4" i="2"/>
  <c r="Z4" i="2" s="1"/>
  <c r="Y5" i="2"/>
  <c r="Z5" i="2" s="1"/>
  <c r="Y6" i="2"/>
  <c r="Z6" i="2" s="1"/>
  <c r="Y7" i="2"/>
  <c r="Z7" i="2" s="1"/>
  <c r="Y8" i="2"/>
  <c r="Z8" i="2" s="1"/>
  <c r="Y9" i="2"/>
  <c r="Z9" i="2" s="1"/>
  <c r="Y10" i="2"/>
  <c r="Z10" i="2" s="1"/>
  <c r="Y11" i="2"/>
  <c r="Z11" i="2" s="1"/>
  <c r="Y18" i="2"/>
  <c r="Z18" i="2" s="1"/>
  <c r="Y19" i="2"/>
  <c r="Z19" i="2" s="1"/>
  <c r="Y20" i="2"/>
  <c r="Z20" i="2" s="1"/>
  <c r="Y21" i="2"/>
  <c r="Z21" i="2" s="1"/>
  <c r="Y25" i="2"/>
  <c r="Z25" i="2" s="1"/>
  <c r="Y26" i="2"/>
  <c r="Z26" i="2" s="1"/>
  <c r="Y27" i="2"/>
  <c r="Z27" i="2" s="1"/>
  <c r="Y30" i="2"/>
  <c r="Z30" i="2" s="1"/>
  <c r="Y31" i="2"/>
  <c r="Z31" i="2" s="1"/>
  <c r="Y32" i="2"/>
  <c r="Z32" i="2" s="1"/>
  <c r="Y33" i="2"/>
  <c r="Z33" i="2" s="1"/>
  <c r="Y34" i="2"/>
  <c r="Z34" i="2" s="1"/>
  <c r="Y35" i="2"/>
  <c r="Z35" i="2" s="1"/>
  <c r="Y36" i="2"/>
  <c r="Z36" i="2" s="1"/>
  <c r="Y37" i="2"/>
  <c r="Z37" i="2" s="1"/>
  <c r="Y40" i="2"/>
  <c r="Z40" i="2" s="1"/>
  <c r="Y41" i="2"/>
  <c r="Z41" i="2" s="1"/>
  <c r="Y43" i="2"/>
  <c r="Z43" i="2" s="1"/>
  <c r="Y44" i="2"/>
  <c r="Z44" i="2" s="1"/>
  <c r="Y47" i="2"/>
  <c r="Z47" i="2" s="1"/>
  <c r="Y48" i="2"/>
  <c r="Z48" i="2" s="1"/>
  <c r="Y49" i="2"/>
  <c r="Z49" i="2" s="1"/>
  <c r="G53" i="2"/>
  <c r="H53" i="2" s="1"/>
  <c r="G52" i="2"/>
  <c r="H52" i="2" s="1"/>
  <c r="G51" i="2"/>
  <c r="H51" i="2" s="1"/>
  <c r="D42" i="2"/>
  <c r="D35" i="2"/>
  <c r="D25" i="2"/>
  <c r="D18" i="2"/>
  <c r="D11" i="2"/>
  <c r="G16" i="2" s="1"/>
  <c r="F16" i="2" s="1"/>
  <c r="D8" i="2"/>
  <c r="N41" i="1"/>
  <c r="J41" i="1"/>
  <c r="Q41" i="1"/>
  <c r="N40" i="1"/>
  <c r="J40" i="1"/>
  <c r="R40" i="1"/>
  <c r="Q39" i="1"/>
  <c r="N39" i="1"/>
  <c r="M39" i="1"/>
  <c r="J39" i="1"/>
  <c r="R39" i="1"/>
  <c r="J38" i="1"/>
  <c r="L38" i="1"/>
  <c r="J37" i="1"/>
  <c r="L37" i="1"/>
  <c r="N36" i="1"/>
  <c r="K36" i="1"/>
  <c r="F36" i="1"/>
  <c r="E36" i="1"/>
  <c r="N35" i="1"/>
  <c r="J35" i="1"/>
  <c r="Q35" i="1"/>
  <c r="J34" i="1"/>
  <c r="R34" i="1"/>
  <c r="J33" i="1"/>
  <c r="Q33" i="1"/>
  <c r="J32" i="1"/>
  <c r="M32" i="1"/>
  <c r="N31" i="1"/>
  <c r="K31" i="1"/>
  <c r="F31" i="1"/>
  <c r="E31" i="1"/>
  <c r="J30" i="1"/>
  <c r="M30" i="1"/>
  <c r="L29" i="1"/>
  <c r="J29" i="1"/>
  <c r="R29" i="1"/>
  <c r="J28" i="1"/>
  <c r="J27" i="1"/>
  <c r="R26" i="1"/>
  <c r="Q26" i="1"/>
  <c r="M26" i="1"/>
  <c r="J26" i="1"/>
  <c r="R25" i="1"/>
  <c r="Q25" i="1"/>
  <c r="M25" i="1"/>
  <c r="J25" i="1"/>
  <c r="Q24" i="1"/>
  <c r="M24" i="1"/>
  <c r="J24" i="1"/>
  <c r="R24" i="1"/>
  <c r="J23" i="1"/>
  <c r="L23" i="1"/>
  <c r="K22" i="1"/>
  <c r="F22" i="1"/>
  <c r="E22" i="1"/>
  <c r="J21" i="1"/>
  <c r="K21" i="1"/>
  <c r="K17" i="1"/>
  <c r="Q20" i="1"/>
  <c r="J20" i="1"/>
  <c r="M20" i="1"/>
  <c r="J19" i="1"/>
  <c r="J17" i="1"/>
  <c r="R17" i="1"/>
  <c r="F17" i="1"/>
  <c r="E17" i="1"/>
  <c r="J16" i="1"/>
  <c r="Q15" i="1"/>
  <c r="J15" i="1"/>
  <c r="Q14" i="1"/>
  <c r="J14" i="1"/>
  <c r="R13" i="1"/>
  <c r="J13" i="1"/>
  <c r="I13" i="1"/>
  <c r="Q12" i="1"/>
  <c r="K12" i="1"/>
  <c r="J12" i="1"/>
  <c r="F12" i="1"/>
  <c r="E12" i="1"/>
  <c r="R11" i="1"/>
  <c r="J11" i="1"/>
  <c r="R10" i="1"/>
  <c r="N10" i="1"/>
  <c r="M10" i="1"/>
  <c r="J10" i="1"/>
  <c r="K9" i="1"/>
  <c r="J9" i="1"/>
  <c r="R9" i="1"/>
  <c r="F9" i="1"/>
  <c r="E9" i="1"/>
  <c r="J7" i="1"/>
  <c r="R7" i="1"/>
  <c r="J6" i="1"/>
  <c r="R6" i="1"/>
  <c r="J5" i="1"/>
  <c r="R5" i="1"/>
  <c r="J4" i="1"/>
  <c r="R4" i="1"/>
  <c r="J3" i="1"/>
  <c r="R3" i="1"/>
  <c r="L33" i="1"/>
  <c r="P10" i="1"/>
  <c r="Q10" i="1"/>
  <c r="N19" i="1"/>
  <c r="Q19" i="1"/>
  <c r="Q17" i="1"/>
  <c r="Q23" i="1"/>
  <c r="Q22" i="1"/>
  <c r="N28" i="1"/>
  <c r="Q28" i="1"/>
  <c r="R28" i="1"/>
  <c r="R30" i="1"/>
  <c r="Q32" i="1"/>
  <c r="R35" i="1"/>
  <c r="M38" i="1"/>
  <c r="Q40" i="1"/>
  <c r="R41" i="1"/>
  <c r="L19" i="1"/>
  <c r="J22" i="1"/>
  <c r="R22" i="1"/>
  <c r="N22" i="1"/>
  <c r="L28" i="1"/>
  <c r="N29" i="1"/>
  <c r="Q29" i="1"/>
  <c r="J31" i="1"/>
  <c r="M34" i="1"/>
  <c r="M42" i="1"/>
  <c r="P34" i="1"/>
  <c r="M35" i="1"/>
  <c r="J36" i="1"/>
  <c r="M41" i="1"/>
  <c r="R36" i="1"/>
  <c r="Q36" i="1"/>
  <c r="R31" i="1"/>
  <c r="Q31" i="1"/>
  <c r="L42" i="1"/>
  <c r="L44" i="1"/>
  <c r="N34" i="1"/>
  <c r="Q34" i="1"/>
  <c r="Z50" i="2" l="1"/>
</calcChain>
</file>

<file path=xl/comments1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imunizaciisTVis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dedata da bavshvta programis sachiroebistvis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tenderis ekonomia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tenderis ekonomia</t>
        </r>
      </text>
    </comment>
  </commentList>
</comments>
</file>

<file path=xl/sharedStrings.xml><?xml version="1.0" encoding="utf-8"?>
<sst xmlns="http://schemas.openxmlformats.org/spreadsheetml/2006/main" count="513" uniqueCount="183">
  <si>
    <t xml:space="preserve">ორგანიზაც.
 კოდი   </t>
  </si>
  <si>
    <t>დ ა ს ა ხ ე ლ ე ბ ა</t>
  </si>
  <si>
    <t>დამტკიცებული საბიუჯეტო</t>
  </si>
  <si>
    <t>I დაზუსტებული საბიუჯეტო</t>
  </si>
  <si>
    <t>(-)</t>
  </si>
  <si>
    <t>(+)</t>
  </si>
  <si>
    <t xml:space="preserve">II დაზუსტებული საბიუჯეტო </t>
  </si>
  <si>
    <t>ბიუჯეტი ხარჯვით</t>
  </si>
  <si>
    <t>დეფიციტი</t>
  </si>
  <si>
    <t>პროფიციტი</t>
  </si>
  <si>
    <t>35 03 02 01</t>
  </si>
  <si>
    <t>დაავადებათა ადრეული გამოვლენა და სკრინინგი</t>
  </si>
  <si>
    <t>35 03 02 02</t>
  </si>
  <si>
    <t>იმუნიზაცია</t>
  </si>
  <si>
    <t>35 03 02 03</t>
  </si>
  <si>
    <t>ეპიდზედამხედველობის პროგრამა</t>
  </si>
  <si>
    <t>35 03 02 04</t>
  </si>
  <si>
    <t>უსაფრთხო სისხლი</t>
  </si>
  <si>
    <t>35 03 02 05</t>
  </si>
  <si>
    <t>პროფესიულ დაავადებათა პრევენცია</t>
  </si>
  <si>
    <t>35 03 02 06</t>
  </si>
  <si>
    <t>ინფექციური დაავადებების მართვა</t>
  </si>
  <si>
    <t>35 03 02 06 01</t>
  </si>
  <si>
    <t>35 03 02 06 02</t>
  </si>
  <si>
    <t>ინფექციური დაავადებების მართვა (საქართველოს შრომის, ჯანმრთელობისა და სოციალური დაცვის სამინისტროს ცენტრალური აპარატი)</t>
  </si>
  <si>
    <t>35 03 02 07</t>
  </si>
  <si>
    <t>ტუბერკულოზის მართვა</t>
  </si>
  <si>
    <t>10 879 100</t>
  </si>
  <si>
    <t>35 03 02 07 01</t>
  </si>
  <si>
    <t>35 03 02 07 02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</si>
  <si>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</si>
  <si>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35 03 02 07 03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</si>
  <si>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</si>
  <si>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35 03 02 08</t>
  </si>
  <si>
    <t>აივ ინფექცია/შიდსი</t>
  </si>
  <si>
    <t>35 03 02 08 01</t>
  </si>
  <si>
    <t>35 03 02 08 02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</si>
  <si>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</si>
  <si>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35 03 02 08 03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</si>
  <si>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</si>
  <si>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35 03 02 09</t>
  </si>
  <si>
    <t>დედათა და ბავშვთა ჯანმრთელობა</t>
  </si>
  <si>
    <t>35 03 02 09 01</t>
  </si>
  <si>
    <t>35 03 02 09 02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</si>
  <si>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</si>
  <si>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35 03 02 10</t>
  </si>
  <si>
    <t>ნარკომანია</t>
  </si>
  <si>
    <t>35 03 02 11</t>
  </si>
  <si>
    <t>ჯანმრთელობის ხელშეწყობის პროგრამა</t>
  </si>
  <si>
    <t>35 03 02 12</t>
  </si>
  <si>
    <t>C ჰეპატიტის მართვა</t>
  </si>
  <si>
    <t>35 03 03 01</t>
  </si>
  <si>
    <t>ფსიქიკური ჯანმრთელობა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</si>
  <si>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</si>
  <si>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</si>
  <si>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</si>
  <si>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</si>
  <si>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35 03 03 04</t>
  </si>
  <si>
    <t>დიალიზი და თირკმლის ტრანსპლანტაცია</t>
  </si>
  <si>
    <t>35 03 03 04 01</t>
  </si>
  <si>
    <t>35 03 03 04 02</t>
  </si>
  <si>
    <t>დიალიზი და თირკმლის ტრანსპლანტაცია (საქართველოს შრომის ჯანმრთელობისა და სოციალური დაცვის სამინისტროს ცენტრალური აპარატი)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</si>
  <si>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</si>
  <si>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</si>
  <si>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</si>
  <si>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</si>
  <si>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</si>
  <si>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სასწრაფო გადაუდებელი დახმარება და სამედიცინო ტრანსპორტირება</t>
  </si>
  <si>
    <t>35 03 03 07 01</t>
  </si>
  <si>
    <t xml:space="preserve">სასწრაფო სამედიცინო დახმარება და სამედიცინო ტრანსპორტირება </t>
  </si>
  <si>
    <t>35 03 03 07 02</t>
  </si>
  <si>
    <t>სასწრაფო გადაუდებელი დახმარება</t>
  </si>
  <si>
    <t>35 03 03 08</t>
  </si>
  <si>
    <t>სოფლის ექიმი</t>
  </si>
  <si>
    <t>35 03 03 09</t>
  </si>
  <si>
    <t>რეფერალური მომსახურება</t>
  </si>
  <si>
    <t>35 03 03 10</t>
  </si>
  <si>
    <t>სამხედრო ძალებში გასაწვევ მოქალაქეთა სამედიცინო შემოწმება</t>
  </si>
  <si>
    <t>პროგრამული ბიუჯეტი - 2015 დამრგვალების გარეშე</t>
  </si>
  <si>
    <t>პროგრამული ბიუჯეტი 15 დამრგვალებით</t>
  </si>
  <si>
    <t>დაზუსტებული ბიუჯეტი</t>
  </si>
  <si>
    <t>მოსალოდნელი წლის ბოლომდე</t>
  </si>
  <si>
    <t>სულ 2015 ხარჯი</t>
  </si>
  <si>
    <t>საკასო 11 თვე სააგენტო</t>
  </si>
  <si>
    <t>ნსდს</t>
  </si>
  <si>
    <t>სსდ/სადავო</t>
  </si>
  <si>
    <t>2015 პროგრამების ბიუჯეტი დამტკიცებული (308)</t>
  </si>
  <si>
    <t>პირველი დაზუსტებული</t>
  </si>
  <si>
    <t>(+)500000</t>
  </si>
  <si>
    <t>(+)40000</t>
  </si>
  <si>
    <t>(-)40000</t>
  </si>
  <si>
    <t>(-)100000</t>
  </si>
  <si>
    <t>(+)100000</t>
  </si>
  <si>
    <t>(+)2350000</t>
  </si>
  <si>
    <t>(+)200000</t>
  </si>
  <si>
    <t>(-)5700</t>
  </si>
  <si>
    <t>(-)23628</t>
  </si>
  <si>
    <t>(-)5677</t>
  </si>
  <si>
    <t>(-)23910</t>
  </si>
  <si>
    <t>(-)419881</t>
  </si>
  <si>
    <t>(-)319</t>
  </si>
  <si>
    <t>(-)47620</t>
  </si>
  <si>
    <t>(+)300000</t>
  </si>
  <si>
    <t>(-)115000</t>
  </si>
  <si>
    <t>(+)100</t>
  </si>
  <si>
    <t>(+)40</t>
  </si>
  <si>
    <t>(+)180100</t>
  </si>
  <si>
    <t>(+)340900</t>
  </si>
  <si>
    <t>(-)60600</t>
  </si>
  <si>
    <t>(-)446385</t>
  </si>
  <si>
    <t>(+)645400</t>
  </si>
  <si>
    <t>(+)1156100</t>
  </si>
  <si>
    <t>(-)726000</t>
  </si>
  <si>
    <t>(+)9288</t>
  </si>
  <si>
    <t>(-)984000</t>
  </si>
  <si>
    <t>(+)57</t>
  </si>
  <si>
    <t>(-)1050000</t>
  </si>
  <si>
    <t>(+)50000</t>
  </si>
  <si>
    <t>დაზუსტებული 11.12.15</t>
  </si>
  <si>
    <t>ცვლილებების ჯამი</t>
  </si>
  <si>
    <t>სატენდერო ეკონომია</t>
  </si>
  <si>
    <t>(-)230000</t>
  </si>
  <si>
    <t>(-)68300</t>
  </si>
  <si>
    <t>dazustebuli</t>
  </si>
  <si>
    <t>(+)1750000</t>
  </si>
  <si>
    <t>(-)98</t>
  </si>
  <si>
    <t>(-)6240</t>
  </si>
  <si>
    <t>(+)647850</t>
  </si>
  <si>
    <t>(-)350000</t>
  </si>
  <si>
    <t>(-)26000</t>
  </si>
  <si>
    <t>(-)9959</t>
  </si>
  <si>
    <t>(-)30000</t>
  </si>
  <si>
    <t>(-)1784970</t>
  </si>
  <si>
    <t>(-)90000</t>
  </si>
  <si>
    <t>(-)31040</t>
  </si>
  <si>
    <t>(-)21200</t>
  </si>
  <si>
    <t>(+)180,100</t>
  </si>
  <si>
    <t>(-)250,000</t>
  </si>
  <si>
    <t>(-)7369</t>
  </si>
  <si>
    <t>(-)430,000</t>
  </si>
  <si>
    <t>(-)80000</t>
  </si>
  <si>
    <t>(-)83277</t>
  </si>
  <si>
    <t>(-)215</t>
  </si>
  <si>
    <t>(-)25800</t>
  </si>
  <si>
    <t>(-)1780</t>
  </si>
  <si>
    <t>(-)192649</t>
  </si>
  <si>
    <t>(-)249239</t>
  </si>
  <si>
    <t>(-)79474</t>
  </si>
  <si>
    <t>(-)9481401</t>
  </si>
  <si>
    <t>(+)9481401</t>
  </si>
  <si>
    <t>(-)38537</t>
  </si>
  <si>
    <t>(-)200489</t>
  </si>
  <si>
    <t>(-)3430</t>
  </si>
  <si>
    <t>(+)108000</t>
  </si>
  <si>
    <t>(+)220000</t>
  </si>
  <si>
    <t>(+)210670</t>
  </si>
  <si>
    <t>(+)1574000</t>
  </si>
  <si>
    <t>(+)246940</t>
  </si>
  <si>
    <t>(+)1000000</t>
  </si>
  <si>
    <t>(+)1500000</t>
  </si>
  <si>
    <t>N374</t>
  </si>
  <si>
    <t>N457</t>
  </si>
  <si>
    <t>N776</t>
  </si>
  <si>
    <t>N793</t>
  </si>
  <si>
    <t>N852</t>
  </si>
  <si>
    <t>N902</t>
  </si>
  <si>
    <t>N1157</t>
  </si>
  <si>
    <t>N1221</t>
  </si>
  <si>
    <t>N1227</t>
  </si>
  <si>
    <t>N1348</t>
  </si>
  <si>
    <t>N1382</t>
  </si>
  <si>
    <t>N1383</t>
  </si>
  <si>
    <t>N1414</t>
  </si>
  <si>
    <t>N1454</t>
  </si>
  <si>
    <t>N1490</t>
  </si>
  <si>
    <t>N1545</t>
  </si>
  <si>
    <t>N1621</t>
  </si>
  <si>
    <t>N1662</t>
  </si>
  <si>
    <t>N1668</t>
  </si>
  <si>
    <t>N1669</t>
  </si>
  <si>
    <t>N1717</t>
  </si>
  <si>
    <t>N?????</t>
  </si>
  <si>
    <t>დაზუსტებული 15.12.15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</si>
</sst>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L_a_r_i_-;\-* #,##0.00\ _L_a_r_i_-;_-* &quot;-&quot;??\ _L_a_r_i_-;_-@_-"/>
    <numFmt numFmtId="164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3" tint="-0.249977111117893"/>
      <name val="Sylfaen"/>
      <family val="1"/>
    </font>
    <font>
      <b/>
      <sz val="8"/>
      <color theme="3" tint="-0.249977111117893"/>
      <name val="Sylfaen"/>
      <family val="1"/>
    </font>
    <font>
      <b/>
      <sz val="8"/>
      <color theme="3" tint="-0.249977111117893"/>
      <name val="Arial"/>
      <family val="2"/>
    </font>
    <font>
      <b/>
      <sz val="10"/>
      <color theme="3" tint="-0.249977111117893"/>
      <name val="Sylfaen"/>
      <family val="1"/>
    </font>
    <font>
      <b/>
      <sz val="11"/>
      <color theme="3" tint="-0.249977111117893"/>
      <name val="Calibri"/>
      <family val="2"/>
      <charset val="204"/>
      <scheme val="minor"/>
    </font>
    <font>
      <b/>
      <sz val="11"/>
      <color theme="3" tint="-0.249977111117893"/>
      <name val="Arial"/>
      <family val="2"/>
    </font>
    <font>
      <b/>
      <sz val="11"/>
      <color theme="3"/>
      <name val="Calibri"/>
      <family val="2"/>
      <charset val="204"/>
      <scheme val="minor"/>
    </font>
    <font>
      <b/>
      <sz val="10"/>
      <color theme="3" tint="-0.249977111117893"/>
      <name val="Arial"/>
      <family val="2"/>
    </font>
    <font>
      <sz val="8"/>
      <color theme="3" tint="-0.249977111117893"/>
      <name val="Sylfaen"/>
      <family val="1"/>
    </font>
    <font>
      <sz val="10"/>
      <color theme="3" tint="-0.249977111117893"/>
      <name val="Sylfaen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Sylfaen"/>
      <family val="1"/>
    </font>
    <font>
      <b/>
      <sz val="11"/>
      <color rgb="FFFF0000"/>
      <name val="Calibri"/>
      <family val="2"/>
      <charset val="204"/>
      <scheme val="minor"/>
    </font>
    <font>
      <b/>
      <sz val="11"/>
      <color theme="3" tint="-0.249977111117893"/>
      <name val="Sylfae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Fill="1" applyBorder="1" applyAlignment="1">
      <alignment horizontal="left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top" wrapText="1" readingOrder="1"/>
    </xf>
    <xf numFmtId="164" fontId="5" fillId="2" borderId="1" xfId="0" applyNumberFormat="1" applyFont="1" applyFill="1" applyBorder="1" applyAlignment="1">
      <alignment horizontal="center" vertical="center" wrapText="1" readingOrder="1"/>
    </xf>
    <xf numFmtId="164" fontId="1" fillId="0" borderId="0" xfId="0" applyNumberFormat="1" applyFont="1" applyFill="1" applyBorder="1" applyAlignment="1">
      <alignment horizontal="left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top" wrapText="1" readingOrder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164" fontId="5" fillId="4" borderId="1" xfId="0" applyNumberFormat="1" applyFont="1" applyFill="1" applyBorder="1" applyAlignment="1">
      <alignment horizontal="center" vertical="center" wrapText="1" readingOrder="1"/>
    </xf>
    <xf numFmtId="164" fontId="1" fillId="5" borderId="0" xfId="0" applyNumberFormat="1" applyFont="1" applyFill="1" applyBorder="1" applyAlignment="1">
      <alignment horizontal="left" readingOrder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top" wrapText="1" readingOrder="1"/>
    </xf>
    <xf numFmtId="0" fontId="8" fillId="2" borderId="1" xfId="0" applyNumberFormat="1" applyFont="1" applyFill="1" applyBorder="1" applyAlignment="1">
      <alignment horizontal="left" vertical="top" wrapText="1" readingOrder="1"/>
    </xf>
    <xf numFmtId="164" fontId="5" fillId="6" borderId="1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readingOrder="1"/>
    </xf>
    <xf numFmtId="0" fontId="10" fillId="0" borderId="0" xfId="0" applyFont="1" applyFill="1" applyBorder="1" applyAlignment="1">
      <alignment horizontal="left" readingOrder="1"/>
    </xf>
    <xf numFmtId="0" fontId="1" fillId="0" borderId="0" xfId="0" applyFont="1" applyFill="1" applyBorder="1" applyAlignment="1">
      <alignment horizontal="center" readingOrder="1"/>
    </xf>
    <xf numFmtId="164" fontId="5" fillId="5" borderId="1" xfId="0" applyNumberFormat="1" applyFont="1" applyFill="1" applyBorder="1" applyAlignment="1">
      <alignment horizontal="center" vertical="center" wrapText="1" readingOrder="1"/>
    </xf>
    <xf numFmtId="43" fontId="1" fillId="0" borderId="0" xfId="0" applyNumberFormat="1" applyFont="1" applyFill="1" applyBorder="1" applyAlignment="1">
      <alignment horizontal="left" readingOrder="1"/>
    </xf>
    <xf numFmtId="164" fontId="5" fillId="7" borderId="1" xfId="0" applyNumberFormat="1" applyFont="1" applyFill="1" applyBorder="1" applyAlignment="1">
      <alignment horizontal="center" vertical="center" wrapText="1" readingOrder="1"/>
    </xf>
    <xf numFmtId="164" fontId="10" fillId="0" borderId="0" xfId="0" applyNumberFormat="1" applyFont="1" applyFill="1" applyBorder="1" applyAlignment="1">
      <alignment horizontal="left" readingOrder="1"/>
    </xf>
    <xf numFmtId="43" fontId="1" fillId="0" borderId="0" xfId="1" applyFont="1" applyFill="1" applyBorder="1" applyAlignment="1">
      <alignment horizontal="left" readingOrder="1"/>
    </xf>
    <xf numFmtId="14" fontId="2" fillId="0" borderId="1" xfId="0" applyNumberFormat="1" applyFont="1" applyFill="1" applyBorder="1" applyAlignment="1">
      <alignment horizontal="center" vertical="center" wrapText="1" readingOrder="1"/>
    </xf>
    <xf numFmtId="164" fontId="7" fillId="0" borderId="5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 readingOrder="1"/>
    </xf>
    <xf numFmtId="164" fontId="5" fillId="8" borderId="1" xfId="0" applyNumberFormat="1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left" readingOrder="1"/>
    </xf>
    <xf numFmtId="14" fontId="10" fillId="0" borderId="1" xfId="0" applyNumberFormat="1" applyFont="1" applyFill="1" applyBorder="1" applyAlignment="1">
      <alignment horizontal="center" vertical="center" readingOrder="1"/>
    </xf>
    <xf numFmtId="14" fontId="15" fillId="0" borderId="1" xfId="0" applyNumberFormat="1" applyFont="1" applyFill="1" applyBorder="1" applyAlignment="1">
      <alignment horizontal="center" vertical="center" readingOrder="1"/>
    </xf>
    <xf numFmtId="164" fontId="16" fillId="0" borderId="1" xfId="0" applyNumberFormat="1" applyFont="1" applyFill="1" applyBorder="1" applyAlignment="1">
      <alignment horizontal="center" vertical="center" wrapText="1" readingOrder="1"/>
    </xf>
    <xf numFmtId="0" fontId="17" fillId="0" borderId="1" xfId="0" applyFont="1" applyFill="1" applyBorder="1" applyAlignment="1">
      <alignment horizontal="center" vertical="center" wrapText="1" readingOrder="1"/>
    </xf>
    <xf numFmtId="164" fontId="16" fillId="2" borderId="1" xfId="0" applyNumberFormat="1" applyFont="1" applyFill="1" applyBorder="1" applyAlignment="1">
      <alignment horizontal="center" vertical="center" wrapText="1" readingOrder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3" borderId="3" xfId="0" applyNumberFormat="1" applyFont="1" applyFill="1" applyBorder="1" applyAlignment="1">
      <alignment horizontal="center" vertical="center" wrapText="1" readingOrder="1"/>
    </xf>
    <xf numFmtId="0" fontId="6" fillId="3" borderId="4" xfId="0" applyNumberFormat="1" applyFont="1" applyFill="1" applyBorder="1" applyAlignment="1">
      <alignment horizontal="center" vertical="center" wrapText="1" readingOrder="1"/>
    </xf>
  </cellXfs>
  <cellStyles count="4">
    <cellStyle name="Comma" xfId="1" builtinId="3"/>
    <cellStyle name="Normal" xfId="0" builtinId="0"/>
    <cellStyle name="Normal 2" xfId="2"/>
    <cellStyle name="Percent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44"/>
  <sheetViews>
    <sheetView workbookViewId="0">
      <selection activeCell="I36" sqref="I36"/>
    </sheetView>
  </sheetViews>
  <sheetFormatPr defaultRowHeight="15.75" x14ac:dyDescent="0.3"/>
  <cols>
    <col min="1" max="1" width="9.140625" style="1"/>
    <col min="2" max="2" width="11.5703125" style="17" bestFit="1" customWidth="1"/>
    <col min="3" max="3" width="37.140625" style="18" bestFit="1" customWidth="1"/>
    <col min="4" max="4" width="25.85546875" style="18" customWidth="1"/>
    <col min="5" max="5" width="16.42578125" style="19" hidden="1" customWidth="1"/>
    <col min="6" max="6" width="14.7109375" style="19" hidden="1" customWidth="1"/>
    <col min="7" max="7" width="13.85546875" style="19" hidden="1" customWidth="1"/>
    <col min="8" max="8" width="9" style="19" hidden="1" customWidth="1"/>
    <col min="9" max="9" width="15" style="19" customWidth="1"/>
    <col min="10" max="10" width="14.7109375" style="19" customWidth="1"/>
    <col min="11" max="11" width="19.5703125" style="1" hidden="1" customWidth="1"/>
    <col min="12" max="12" width="18.85546875" style="1" hidden="1" customWidth="1"/>
    <col min="13" max="13" width="16.85546875" style="1" hidden="1" customWidth="1"/>
    <col min="14" max="15" width="17.7109375" style="1" hidden="1" customWidth="1"/>
    <col min="16" max="17" width="16.28515625" style="1" hidden="1" customWidth="1"/>
    <col min="18" max="18" width="15" style="1" customWidth="1"/>
    <col min="19" max="16384" width="9.140625" style="1"/>
  </cols>
  <sheetData>
    <row r="2" spans="2:18" ht="34.5" customHeight="1" x14ac:dyDescent="0.25">
      <c r="B2" s="2" t="s">
        <v>0</v>
      </c>
      <c r="C2" s="2" t="s">
        <v>1</v>
      </c>
      <c r="D2" s="2" t="s">
        <v>78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79</v>
      </c>
      <c r="J2" s="2" t="s">
        <v>6</v>
      </c>
      <c r="K2" s="2" t="s">
        <v>7</v>
      </c>
      <c r="L2" s="2" t="s">
        <v>8</v>
      </c>
      <c r="M2" s="2" t="s">
        <v>9</v>
      </c>
    </row>
    <row r="3" spans="2:18" ht="30" x14ac:dyDescent="0.25">
      <c r="B3" s="3" t="s">
        <v>10</v>
      </c>
      <c r="C3" s="4" t="s">
        <v>11</v>
      </c>
      <c r="D3" s="5">
        <v>1607500</v>
      </c>
      <c r="E3" s="5">
        <v>2000000</v>
      </c>
      <c r="F3" s="5">
        <v>1770000</v>
      </c>
      <c r="G3" s="5"/>
      <c r="H3" s="5"/>
      <c r="I3" s="5">
        <v>1607500</v>
      </c>
      <c r="J3" s="5">
        <f>F3+G3+H3</f>
        <v>1770000</v>
      </c>
      <c r="K3" s="5">
        <v>1770000</v>
      </c>
      <c r="L3" s="5">
        <v>0</v>
      </c>
      <c r="M3" s="5">
        <v>0</v>
      </c>
      <c r="R3" s="6">
        <f>J3-I3</f>
        <v>162500</v>
      </c>
    </row>
    <row r="4" spans="2:18" ht="15" x14ac:dyDescent="0.25">
      <c r="B4" s="3" t="s">
        <v>12</v>
      </c>
      <c r="C4" s="4" t="s">
        <v>13</v>
      </c>
      <c r="D4" s="5">
        <v>10390000</v>
      </c>
      <c r="E4" s="5">
        <v>8340000</v>
      </c>
      <c r="F4" s="5">
        <v>10090000</v>
      </c>
      <c r="G4" s="5">
        <v>-98</v>
      </c>
      <c r="H4" s="5">
        <v>300000</v>
      </c>
      <c r="I4" s="5">
        <v>10390000</v>
      </c>
      <c r="J4" s="5">
        <f>F4+G4+H4</f>
        <v>10389902</v>
      </c>
      <c r="K4" s="5">
        <v>10389902</v>
      </c>
      <c r="L4" s="5">
        <v>0</v>
      </c>
      <c r="M4" s="5">
        <v>0</v>
      </c>
      <c r="R4" s="6">
        <f>J4-I4</f>
        <v>-98</v>
      </c>
    </row>
    <row r="5" spans="2:18" ht="15" x14ac:dyDescent="0.25">
      <c r="B5" s="3" t="s">
        <v>14</v>
      </c>
      <c r="C5" s="4" t="s">
        <v>15</v>
      </c>
      <c r="D5" s="5">
        <v>650000</v>
      </c>
      <c r="E5" s="5">
        <v>1000000</v>
      </c>
      <c r="F5" s="5">
        <v>650000</v>
      </c>
      <c r="G5" s="5"/>
      <c r="H5" s="5"/>
      <c r="I5" s="5">
        <v>650000</v>
      </c>
      <c r="J5" s="5">
        <f>F5+G5+H5</f>
        <v>650000</v>
      </c>
      <c r="K5" s="5">
        <v>650000</v>
      </c>
      <c r="L5" s="5">
        <v>0</v>
      </c>
      <c r="M5" s="5">
        <v>0</v>
      </c>
      <c r="R5" s="6">
        <f t="shared" ref="R5:R7" si="0">J5-I5</f>
        <v>0</v>
      </c>
    </row>
    <row r="6" spans="2:18" ht="15" x14ac:dyDescent="0.25">
      <c r="B6" s="3" t="s">
        <v>16</v>
      </c>
      <c r="C6" s="4" t="s">
        <v>17</v>
      </c>
      <c r="D6" s="5">
        <v>1392000</v>
      </c>
      <c r="E6" s="5">
        <v>1502000</v>
      </c>
      <c r="F6" s="5">
        <v>1402000</v>
      </c>
      <c r="G6" s="5"/>
      <c r="H6" s="5"/>
      <c r="I6" s="5">
        <v>1392000</v>
      </c>
      <c r="J6" s="5">
        <f>F6+G6+H6</f>
        <v>1402000</v>
      </c>
      <c r="K6" s="5">
        <v>1402000</v>
      </c>
      <c r="L6" s="5">
        <v>0</v>
      </c>
      <c r="M6" s="5">
        <v>0</v>
      </c>
      <c r="R6" s="6">
        <f t="shared" si="0"/>
        <v>10000</v>
      </c>
    </row>
    <row r="7" spans="2:18" ht="30" x14ac:dyDescent="0.25">
      <c r="B7" s="3" t="s">
        <v>18</v>
      </c>
      <c r="C7" s="4" t="s">
        <v>19</v>
      </c>
      <c r="D7" s="5">
        <v>270000</v>
      </c>
      <c r="E7" s="5">
        <v>270000</v>
      </c>
      <c r="F7" s="5">
        <v>270000</v>
      </c>
      <c r="G7" s="5"/>
      <c r="H7" s="5"/>
      <c r="I7" s="5">
        <v>270000</v>
      </c>
      <c r="J7" s="5">
        <f>F7+G7+H7</f>
        <v>270000</v>
      </c>
      <c r="K7" s="5">
        <v>270000</v>
      </c>
      <c r="L7" s="5">
        <v>0</v>
      </c>
      <c r="M7" s="5">
        <v>0</v>
      </c>
      <c r="R7" s="6">
        <f t="shared" si="0"/>
        <v>0</v>
      </c>
    </row>
    <row r="8" spans="2:18" ht="15" x14ac:dyDescent="0.25"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7"/>
    </row>
    <row r="9" spans="2:18" ht="30" x14ac:dyDescent="0.25">
      <c r="B9" s="3" t="s">
        <v>20</v>
      </c>
      <c r="C9" s="4" t="s">
        <v>21</v>
      </c>
      <c r="D9" s="5">
        <v>7860000</v>
      </c>
      <c r="E9" s="5">
        <f>E10+E11</f>
        <v>10000000</v>
      </c>
      <c r="F9" s="5">
        <f>F10+F11</f>
        <v>10000000</v>
      </c>
      <c r="G9" s="5"/>
      <c r="H9" s="5"/>
      <c r="I9" s="5">
        <v>7860000</v>
      </c>
      <c r="J9" s="5">
        <f>J10+J11</f>
        <v>10000000</v>
      </c>
      <c r="K9" s="5">
        <f>K10+K11</f>
        <v>9770000</v>
      </c>
      <c r="L9" s="5">
        <v>0</v>
      </c>
      <c r="M9" s="5"/>
      <c r="R9" s="6">
        <f>J9-I9</f>
        <v>2140000</v>
      </c>
    </row>
    <row r="10" spans="2:18" ht="30" hidden="1" x14ac:dyDescent="0.25">
      <c r="B10" s="7" t="s">
        <v>22</v>
      </c>
      <c r="C10" s="8" t="s">
        <v>21</v>
      </c>
      <c r="D10" s="8"/>
      <c r="E10" s="9">
        <v>7975000</v>
      </c>
      <c r="F10" s="10">
        <v>7975000</v>
      </c>
      <c r="G10" s="10"/>
      <c r="H10" s="10"/>
      <c r="I10" s="10"/>
      <c r="J10" s="10">
        <f>F10+G10+H10</f>
        <v>7975000</v>
      </c>
      <c r="K10" s="10">
        <v>7745000</v>
      </c>
      <c r="L10" s="10">
        <v>0</v>
      </c>
      <c r="M10" s="11">
        <f>J10-K10</f>
        <v>230000</v>
      </c>
      <c r="N10" s="6">
        <f>K10+115000</f>
        <v>7860000</v>
      </c>
      <c r="O10" s="1">
        <v>-115000</v>
      </c>
      <c r="P10" s="6">
        <f>M10+N10</f>
        <v>8090000</v>
      </c>
      <c r="Q10" s="12">
        <f>K10+P10</f>
        <v>15835000</v>
      </c>
      <c r="R10" s="6">
        <f t="shared" ref="R10:R41" si="1">J10-I10</f>
        <v>7975000</v>
      </c>
    </row>
    <row r="11" spans="2:18" ht="75" hidden="1" x14ac:dyDescent="0.25">
      <c r="B11" s="7" t="s">
        <v>23</v>
      </c>
      <c r="C11" s="8" t="s">
        <v>24</v>
      </c>
      <c r="D11" s="8"/>
      <c r="E11" s="9">
        <v>2025000</v>
      </c>
      <c r="F11" s="13">
        <v>2025000</v>
      </c>
      <c r="G11" s="13"/>
      <c r="H11" s="13"/>
      <c r="I11" s="13"/>
      <c r="J11" s="10">
        <f>F11+G11+H11</f>
        <v>2025000</v>
      </c>
      <c r="K11" s="10">
        <v>2025000</v>
      </c>
      <c r="L11" s="10">
        <v>0</v>
      </c>
      <c r="M11" s="10">
        <v>0</v>
      </c>
      <c r="R11" s="6">
        <f t="shared" si="1"/>
        <v>2025000</v>
      </c>
    </row>
    <row r="12" spans="2:18" ht="15" x14ac:dyDescent="0.25">
      <c r="B12" s="3" t="s">
        <v>25</v>
      </c>
      <c r="C12" s="4" t="s">
        <v>26</v>
      </c>
      <c r="D12" s="5">
        <v>10878960</v>
      </c>
      <c r="E12" s="5">
        <f>E14+E15+E16</f>
        <v>11850000</v>
      </c>
      <c r="F12" s="5">
        <f>F14+F15+F16</f>
        <v>11760000</v>
      </c>
      <c r="G12" s="5"/>
      <c r="H12" s="5"/>
      <c r="I12" s="5" t="s">
        <v>27</v>
      </c>
      <c r="J12" s="5">
        <f>J14+J15+J16</f>
        <v>11628960</v>
      </c>
      <c r="K12" s="5">
        <f>K14+K15+K16</f>
        <v>11628960</v>
      </c>
      <c r="L12" s="5">
        <v>0</v>
      </c>
      <c r="M12" s="5">
        <v>0</v>
      </c>
      <c r="Q12" s="12">
        <f>Q14+Q15</f>
        <v>10878960</v>
      </c>
      <c r="R12" s="6"/>
    </row>
    <row r="13" spans="2:18" ht="15" x14ac:dyDescent="0.25">
      <c r="B13" s="3"/>
      <c r="C13" s="4"/>
      <c r="D13" s="5"/>
      <c r="E13" s="5"/>
      <c r="F13" s="5"/>
      <c r="G13" s="5"/>
      <c r="H13" s="5"/>
      <c r="I13" s="5" t="str">
        <f>I12</f>
        <v>10 879 100</v>
      </c>
      <c r="J13" s="5">
        <f>J14+J15</f>
        <v>10878960</v>
      </c>
      <c r="K13" s="5"/>
      <c r="L13" s="5"/>
      <c r="M13" s="5"/>
      <c r="Q13" s="12"/>
      <c r="R13" s="6">
        <f>J13-10879100</f>
        <v>-140</v>
      </c>
    </row>
    <row r="14" spans="2:18" ht="15" hidden="1" x14ac:dyDescent="0.25">
      <c r="B14" s="7" t="s">
        <v>28</v>
      </c>
      <c r="C14" s="14" t="s">
        <v>26</v>
      </c>
      <c r="D14" s="14"/>
      <c r="E14" s="10">
        <v>10000000</v>
      </c>
      <c r="F14" s="10">
        <v>10000000</v>
      </c>
      <c r="G14" s="10"/>
      <c r="H14" s="10"/>
      <c r="I14" s="10"/>
      <c r="J14" s="10">
        <f>F14+G14+H14</f>
        <v>10000000</v>
      </c>
      <c r="K14" s="10">
        <v>10000000</v>
      </c>
      <c r="L14" s="10">
        <v>0</v>
      </c>
      <c r="M14" s="10">
        <v>0</v>
      </c>
      <c r="Q14" s="6">
        <f>K14</f>
        <v>10000000</v>
      </c>
      <c r="R14" s="6"/>
    </row>
    <row r="15" spans="2:18" ht="63.75" hidden="1" x14ac:dyDescent="0.25">
      <c r="B15" s="7" t="s">
        <v>29</v>
      </c>
      <c r="C15" s="14" t="s">
        <v>30</v>
      </c>
      <c r="D15" s="14"/>
      <c r="E15" s="10">
        <v>1000000</v>
      </c>
      <c r="F15" s="10">
        <v>910000</v>
      </c>
      <c r="G15" s="10">
        <v>-31040</v>
      </c>
      <c r="H15" s="10"/>
      <c r="I15" s="10"/>
      <c r="J15" s="10">
        <f>F15+G15+H15</f>
        <v>878960</v>
      </c>
      <c r="K15" s="10">
        <v>878960</v>
      </c>
      <c r="L15" s="10">
        <v>0</v>
      </c>
      <c r="M15" s="10">
        <v>0</v>
      </c>
      <c r="Q15" s="6">
        <f>K15</f>
        <v>878960</v>
      </c>
      <c r="R15" s="6"/>
    </row>
    <row r="16" spans="2:18" ht="51" hidden="1" x14ac:dyDescent="0.25">
      <c r="B16" s="7" t="s">
        <v>31</v>
      </c>
      <c r="C16" s="14" t="s">
        <v>32</v>
      </c>
      <c r="D16" s="14"/>
      <c r="E16" s="10">
        <v>850000</v>
      </c>
      <c r="F16" s="10">
        <v>850000</v>
      </c>
      <c r="G16" s="10">
        <v>-100000</v>
      </c>
      <c r="H16" s="10"/>
      <c r="I16" s="10"/>
      <c r="J16" s="10">
        <f>F16+G16+H16</f>
        <v>750000</v>
      </c>
      <c r="K16" s="10">
        <v>750000</v>
      </c>
      <c r="L16" s="10">
        <v>0</v>
      </c>
      <c r="M16" s="10">
        <v>0</v>
      </c>
      <c r="R16" s="6"/>
    </row>
    <row r="17" spans="2:18" ht="15" x14ac:dyDescent="0.25">
      <c r="B17" s="3" t="s">
        <v>33</v>
      </c>
      <c r="C17" s="15" t="s">
        <v>34</v>
      </c>
      <c r="D17" s="5">
        <v>4630000</v>
      </c>
      <c r="E17" s="5">
        <f>E19+E20+E21</f>
        <v>6400000</v>
      </c>
      <c r="F17" s="5">
        <f>F19+F20+F21</f>
        <v>6150000</v>
      </c>
      <c r="G17" s="5"/>
      <c r="H17" s="5"/>
      <c r="I17" s="5">
        <v>4630100</v>
      </c>
      <c r="J17" s="5">
        <f>J19+J20+J21</f>
        <v>6150000</v>
      </c>
      <c r="K17" s="5">
        <f>K19+K20+K21</f>
        <v>6287650</v>
      </c>
      <c r="L17" s="5"/>
      <c r="M17" s="5">
        <v>0</v>
      </c>
      <c r="Q17" s="12">
        <f>Q19+Q20</f>
        <v>9038000</v>
      </c>
      <c r="R17" s="6">
        <f>J18-I17</f>
        <v>-180100</v>
      </c>
    </row>
    <row r="18" spans="2:18" ht="15" x14ac:dyDescent="0.25">
      <c r="B18" s="3"/>
      <c r="C18" s="15"/>
      <c r="D18" s="5"/>
      <c r="E18" s="5"/>
      <c r="F18" s="5"/>
      <c r="G18" s="5"/>
      <c r="H18" s="5"/>
      <c r="I18" s="5"/>
      <c r="J18" s="5">
        <v>4450000</v>
      </c>
      <c r="K18" s="5"/>
      <c r="L18" s="5"/>
      <c r="M18" s="5"/>
      <c r="Q18" s="12"/>
      <c r="R18" s="6"/>
    </row>
    <row r="19" spans="2:18" ht="15" hidden="1" x14ac:dyDescent="0.25">
      <c r="B19" s="7" t="s">
        <v>35</v>
      </c>
      <c r="C19" s="14" t="s">
        <v>34</v>
      </c>
      <c r="D19" s="14"/>
      <c r="E19" s="10">
        <v>4000000</v>
      </c>
      <c r="F19" s="10">
        <v>4000000</v>
      </c>
      <c r="G19" s="10"/>
      <c r="H19" s="10"/>
      <c r="I19" s="10"/>
      <c r="J19" s="10">
        <f>F19+G19+H19</f>
        <v>4000000</v>
      </c>
      <c r="K19" s="10">
        <v>4179650</v>
      </c>
      <c r="L19" s="16">
        <f>J19-K19</f>
        <v>-179650</v>
      </c>
      <c r="M19" s="10">
        <v>0</v>
      </c>
      <c r="N19" s="6">
        <f>J20+J19+180000</f>
        <v>4630000</v>
      </c>
      <c r="O19" s="1">
        <v>180000</v>
      </c>
      <c r="P19" s="6"/>
      <c r="Q19" s="6">
        <f>J19+N19</f>
        <v>8630000</v>
      </c>
      <c r="R19" s="6"/>
    </row>
    <row r="20" spans="2:18" ht="63.75" hidden="1" x14ac:dyDescent="0.25">
      <c r="B20" s="7" t="s">
        <v>36</v>
      </c>
      <c r="C20" s="14" t="s">
        <v>37</v>
      </c>
      <c r="D20" s="14"/>
      <c r="E20" s="10">
        <v>700000</v>
      </c>
      <c r="F20" s="10">
        <v>450000</v>
      </c>
      <c r="G20" s="10"/>
      <c r="H20" s="10"/>
      <c r="I20" s="10"/>
      <c r="J20" s="10">
        <f>F20+G20+H20</f>
        <v>450000</v>
      </c>
      <c r="K20" s="10">
        <v>408000</v>
      </c>
      <c r="L20" s="10">
        <v>0</v>
      </c>
      <c r="M20" s="11">
        <f>J20-K20</f>
        <v>42000</v>
      </c>
      <c r="Q20" s="6">
        <f>K20</f>
        <v>408000</v>
      </c>
      <c r="R20" s="6"/>
    </row>
    <row r="21" spans="2:18" ht="114.75" hidden="1" x14ac:dyDescent="0.25">
      <c r="B21" s="7" t="s">
        <v>38</v>
      </c>
      <c r="C21" s="14" t="s">
        <v>39</v>
      </c>
      <c r="D21" s="14"/>
      <c r="E21" s="10">
        <v>1700000</v>
      </c>
      <c r="F21" s="10">
        <v>1700000</v>
      </c>
      <c r="G21" s="10"/>
      <c r="H21" s="10"/>
      <c r="I21" s="10"/>
      <c r="J21" s="10">
        <f>F21+G21+H21</f>
        <v>1700000</v>
      </c>
      <c r="K21" s="10">
        <f>G21+H21+J21</f>
        <v>1700000</v>
      </c>
      <c r="L21" s="10">
        <v>0</v>
      </c>
      <c r="M21" s="10">
        <v>0</v>
      </c>
      <c r="R21" s="6"/>
    </row>
    <row r="22" spans="2:18" ht="25.5" x14ac:dyDescent="0.25">
      <c r="B22" s="3" t="s">
        <v>40</v>
      </c>
      <c r="C22" s="15" t="s">
        <v>41</v>
      </c>
      <c r="D22" s="5">
        <v>6200300</v>
      </c>
      <c r="E22" s="5">
        <f>E23+E24</f>
        <v>6000000</v>
      </c>
      <c r="F22" s="5">
        <f>F23+F24</f>
        <v>5920000</v>
      </c>
      <c r="G22" s="5"/>
      <c r="H22" s="5"/>
      <c r="I22" s="5">
        <v>6200300</v>
      </c>
      <c r="J22" s="5">
        <f>J23+J24</f>
        <v>5920000</v>
      </c>
      <c r="K22" s="5">
        <f>K23+K24</f>
        <v>6200300</v>
      </c>
      <c r="L22" s="5"/>
      <c r="M22" s="5">
        <v>0</v>
      </c>
      <c r="N22" s="6">
        <f>J23+340900+K24</f>
        <v>6200300</v>
      </c>
      <c r="O22" s="1">
        <v>340900</v>
      </c>
      <c r="Q22" s="12">
        <f>Q23+Q24</f>
        <v>5859400</v>
      </c>
      <c r="R22" s="6">
        <f t="shared" si="1"/>
        <v>-280300</v>
      </c>
    </row>
    <row r="23" spans="2:18" ht="25.5" hidden="1" x14ac:dyDescent="0.25">
      <c r="B23" s="7" t="s">
        <v>42</v>
      </c>
      <c r="C23" s="14" t="s">
        <v>41</v>
      </c>
      <c r="D23" s="14"/>
      <c r="E23" s="10">
        <v>5459000</v>
      </c>
      <c r="F23" s="10">
        <v>5459000</v>
      </c>
      <c r="G23" s="10"/>
      <c r="H23" s="10"/>
      <c r="I23" s="10"/>
      <c r="J23" s="10">
        <f>F23+G23+H23</f>
        <v>5459000</v>
      </c>
      <c r="K23" s="10">
        <v>5799900</v>
      </c>
      <c r="L23" s="16">
        <f>J23-K23</f>
        <v>-340900</v>
      </c>
      <c r="M23" s="10">
        <v>0</v>
      </c>
      <c r="Q23" s="6">
        <f>J23+N23</f>
        <v>5459000</v>
      </c>
      <c r="R23" s="6"/>
    </row>
    <row r="24" spans="2:18" ht="76.5" hidden="1" x14ac:dyDescent="0.25">
      <c r="B24" s="7" t="s">
        <v>43</v>
      </c>
      <c r="C24" s="14" t="s">
        <v>44</v>
      </c>
      <c r="D24" s="14"/>
      <c r="E24" s="10">
        <v>541000</v>
      </c>
      <c r="F24" s="10">
        <v>461000</v>
      </c>
      <c r="G24" s="10"/>
      <c r="H24" s="10"/>
      <c r="I24" s="10"/>
      <c r="J24" s="10">
        <f>F24+G24+H24</f>
        <v>461000</v>
      </c>
      <c r="K24" s="10">
        <v>400400</v>
      </c>
      <c r="L24" s="10">
        <v>0</v>
      </c>
      <c r="M24" s="11">
        <f>J24-K24</f>
        <v>60600</v>
      </c>
      <c r="Q24" s="6">
        <f>K24</f>
        <v>400400</v>
      </c>
      <c r="R24" s="6">
        <f t="shared" si="1"/>
        <v>461000</v>
      </c>
    </row>
    <row r="25" spans="2:18" ht="15" x14ac:dyDescent="0.25">
      <c r="B25" s="3" t="s">
        <v>45</v>
      </c>
      <c r="C25" s="4" t="s">
        <v>46</v>
      </c>
      <c r="D25" s="5">
        <v>4353435</v>
      </c>
      <c r="E25" s="5">
        <v>4800000</v>
      </c>
      <c r="F25" s="5">
        <v>4800000</v>
      </c>
      <c r="G25" s="5">
        <v>-215</v>
      </c>
      <c r="H25" s="5"/>
      <c r="I25" s="5">
        <v>4353400</v>
      </c>
      <c r="J25" s="5">
        <f>F25+G25</f>
        <v>4799785</v>
      </c>
      <c r="K25" s="5">
        <v>4353430</v>
      </c>
      <c r="L25" s="5">
        <v>0</v>
      </c>
      <c r="M25" s="11">
        <f>J25-K25</f>
        <v>446355</v>
      </c>
      <c r="P25" s="6"/>
      <c r="Q25" s="12">
        <f>K25+P25</f>
        <v>4353430</v>
      </c>
      <c r="R25" s="6">
        <f t="shared" si="1"/>
        <v>446385</v>
      </c>
    </row>
    <row r="26" spans="2:18" ht="30" x14ac:dyDescent="0.25">
      <c r="B26" s="3" t="s">
        <v>47</v>
      </c>
      <c r="C26" s="4" t="s">
        <v>48</v>
      </c>
      <c r="D26" s="5">
        <v>83400</v>
      </c>
      <c r="E26" s="5">
        <v>200000</v>
      </c>
      <c r="F26" s="5">
        <v>200000</v>
      </c>
      <c r="G26" s="5"/>
      <c r="H26" s="5"/>
      <c r="I26" s="5"/>
      <c r="J26" s="5">
        <f>F26+G26+H26</f>
        <v>200000</v>
      </c>
      <c r="K26" s="5">
        <v>83400</v>
      </c>
      <c r="L26" s="5">
        <v>0</v>
      </c>
      <c r="M26" s="11">
        <f>J26-K26</f>
        <v>116600</v>
      </c>
      <c r="Q26" s="12">
        <f>K26</f>
        <v>83400</v>
      </c>
      <c r="R26" s="6">
        <f t="shared" si="1"/>
        <v>200000</v>
      </c>
    </row>
    <row r="27" spans="2:18" ht="15" x14ac:dyDescent="0.25">
      <c r="B27" s="3" t="s">
        <v>49</v>
      </c>
      <c r="C27" s="4" t="s">
        <v>50</v>
      </c>
      <c r="D27" s="5"/>
      <c r="E27" s="5">
        <v>0</v>
      </c>
      <c r="F27" s="5">
        <v>683400</v>
      </c>
      <c r="G27" s="5">
        <v>1168689</v>
      </c>
      <c r="H27" s="5"/>
      <c r="I27" s="5"/>
      <c r="J27" s="5">
        <f>F27+G27+H27</f>
        <v>1852089</v>
      </c>
      <c r="K27" s="5"/>
      <c r="L27" s="5"/>
      <c r="M27" s="5"/>
      <c r="R27" s="6"/>
    </row>
    <row r="28" spans="2:18" ht="15" x14ac:dyDescent="0.25">
      <c r="B28" s="3" t="s">
        <v>51</v>
      </c>
      <c r="C28" s="4" t="s">
        <v>52</v>
      </c>
      <c r="D28" s="5">
        <v>15645300</v>
      </c>
      <c r="E28" s="5">
        <v>15000000</v>
      </c>
      <c r="F28" s="5">
        <v>15000000</v>
      </c>
      <c r="G28" s="5"/>
      <c r="H28" s="5"/>
      <c r="I28" s="5">
        <v>15645400</v>
      </c>
      <c r="J28" s="5">
        <f>F28+G28+H28</f>
        <v>15000000</v>
      </c>
      <c r="K28" s="5">
        <v>15608170</v>
      </c>
      <c r="L28" s="16">
        <f>J28-K28</f>
        <v>-608170</v>
      </c>
      <c r="M28" s="5">
        <v>0</v>
      </c>
      <c r="N28" s="6">
        <f>J28+O28</f>
        <v>15645300</v>
      </c>
      <c r="O28" s="1">
        <v>645300</v>
      </c>
      <c r="Q28" s="12">
        <f>J28+N28</f>
        <v>30645300</v>
      </c>
      <c r="R28" s="6">
        <f t="shared" si="1"/>
        <v>-645400</v>
      </c>
    </row>
    <row r="29" spans="2:18" ht="15" x14ac:dyDescent="0.25">
      <c r="B29" s="3" t="s">
        <v>53</v>
      </c>
      <c r="C29" s="4" t="s">
        <v>54</v>
      </c>
      <c r="D29" s="5">
        <v>7605150</v>
      </c>
      <c r="E29" s="5">
        <v>6500000</v>
      </c>
      <c r="F29" s="5">
        <v>6500000</v>
      </c>
      <c r="G29" s="5"/>
      <c r="H29" s="5"/>
      <c r="I29" s="5">
        <v>7605100</v>
      </c>
      <c r="J29" s="5">
        <f>F29+G29+H29</f>
        <v>6500000</v>
      </c>
      <c r="K29" s="5">
        <v>7605150</v>
      </c>
      <c r="L29" s="16">
        <f>J29-K29</f>
        <v>-1105150</v>
      </c>
      <c r="M29" s="5">
        <v>0</v>
      </c>
      <c r="N29" s="6">
        <f>J29+1105150</f>
        <v>7605150</v>
      </c>
      <c r="O29" s="1">
        <v>1105150</v>
      </c>
      <c r="Q29" s="12">
        <f>J29+N29</f>
        <v>14105150</v>
      </c>
      <c r="R29" s="6">
        <f t="shared" si="1"/>
        <v>-1105100</v>
      </c>
    </row>
    <row r="30" spans="2:18" ht="30" x14ac:dyDescent="0.25">
      <c r="B30" s="3" t="s">
        <v>55</v>
      </c>
      <c r="C30" s="4" t="s">
        <v>56</v>
      </c>
      <c r="D30" s="5">
        <v>1274000</v>
      </c>
      <c r="E30" s="5">
        <v>2000000</v>
      </c>
      <c r="F30" s="5">
        <v>2000000</v>
      </c>
      <c r="G30" s="5"/>
      <c r="H30" s="5"/>
      <c r="I30" s="5">
        <v>1274000</v>
      </c>
      <c r="J30" s="5">
        <f>F30+G30+H30</f>
        <v>2000000</v>
      </c>
      <c r="K30" s="5">
        <v>1274000</v>
      </c>
      <c r="L30" s="5">
        <v>0</v>
      </c>
      <c r="M30" s="11">
        <f>J30-K30</f>
        <v>726000</v>
      </c>
      <c r="N30" s="1">
        <v>1274000</v>
      </c>
      <c r="O30" s="1">
        <v>-726000</v>
      </c>
      <c r="R30" s="6">
        <f t="shared" si="1"/>
        <v>726000</v>
      </c>
    </row>
    <row r="31" spans="2:18" ht="25.5" x14ac:dyDescent="0.25">
      <c r="B31" s="3" t="s">
        <v>57</v>
      </c>
      <c r="C31" s="15" t="s">
        <v>58</v>
      </c>
      <c r="D31" s="5">
        <v>29032400</v>
      </c>
      <c r="E31" s="5">
        <f>E32+E33</f>
        <v>29465000</v>
      </c>
      <c r="F31" s="5">
        <f>F32+F33</f>
        <v>29465000</v>
      </c>
      <c r="G31" s="5"/>
      <c r="H31" s="5"/>
      <c r="I31" s="5">
        <v>29032400</v>
      </c>
      <c r="J31" s="5">
        <f>J32+J33</f>
        <v>29023112</v>
      </c>
      <c r="K31" s="5">
        <f>K32+K33</f>
        <v>30178950</v>
      </c>
      <c r="L31" s="5"/>
      <c r="M31" s="5"/>
      <c r="N31" s="6">
        <f>D31</f>
        <v>29032400</v>
      </c>
      <c r="Q31" s="12">
        <f>J31</f>
        <v>29023112</v>
      </c>
      <c r="R31" s="6">
        <f t="shared" si="1"/>
        <v>-9288</v>
      </c>
    </row>
    <row r="32" spans="2:18" ht="25.5" hidden="1" x14ac:dyDescent="0.25">
      <c r="B32" s="7" t="s">
        <v>59</v>
      </c>
      <c r="C32" s="14" t="s">
        <v>58</v>
      </c>
      <c r="D32" s="14"/>
      <c r="E32" s="10">
        <v>13597000</v>
      </c>
      <c r="F32" s="10">
        <v>13597000</v>
      </c>
      <c r="G32" s="10">
        <v>-192649</v>
      </c>
      <c r="H32" s="10"/>
      <c r="I32" s="10"/>
      <c r="J32" s="10">
        <f>F32+G32+H32</f>
        <v>13404351</v>
      </c>
      <c r="K32" s="10">
        <v>13222650</v>
      </c>
      <c r="L32" s="10">
        <v>0</v>
      </c>
      <c r="M32" s="10">
        <f>J32-K32</f>
        <v>181701</v>
      </c>
      <c r="Q32" s="6">
        <f>J32</f>
        <v>13404351</v>
      </c>
      <c r="R32" s="6"/>
    </row>
    <row r="33" spans="2:18" ht="63.75" hidden="1" x14ac:dyDescent="0.25">
      <c r="B33" s="7" t="s">
        <v>60</v>
      </c>
      <c r="C33" s="14" t="s">
        <v>61</v>
      </c>
      <c r="D33" s="14"/>
      <c r="E33" s="10">
        <v>15868000</v>
      </c>
      <c r="F33" s="10">
        <v>15868000</v>
      </c>
      <c r="G33" s="10">
        <v>-249239</v>
      </c>
      <c r="H33" s="10"/>
      <c r="I33" s="10"/>
      <c r="J33" s="10">
        <f>F33+G33+H33</f>
        <v>15618761</v>
      </c>
      <c r="K33" s="10">
        <v>16956300</v>
      </c>
      <c r="L33" s="16">
        <f>J33-K33</f>
        <v>-1337539</v>
      </c>
      <c r="M33" s="10">
        <v>0</v>
      </c>
      <c r="Q33" s="6">
        <f>J33</f>
        <v>15618761</v>
      </c>
      <c r="R33" s="6"/>
    </row>
    <row r="34" spans="2:18" ht="30" x14ac:dyDescent="0.25">
      <c r="B34" s="3" t="s">
        <v>62</v>
      </c>
      <c r="C34" s="4" t="s">
        <v>63</v>
      </c>
      <c r="D34" s="5">
        <v>1516000</v>
      </c>
      <c r="E34" s="5">
        <v>2500000</v>
      </c>
      <c r="F34" s="5">
        <v>2500000</v>
      </c>
      <c r="G34" s="5"/>
      <c r="H34" s="5"/>
      <c r="I34" s="5">
        <v>1516000</v>
      </c>
      <c r="J34" s="5">
        <f>F34+G34+H34</f>
        <v>2500000</v>
      </c>
      <c r="K34" s="5">
        <v>1516000</v>
      </c>
      <c r="L34" s="5">
        <v>0</v>
      </c>
      <c r="M34" s="11">
        <f t="shared" ref="M34:M39" si="2">J34-K34</f>
        <v>984000</v>
      </c>
      <c r="N34" s="6">
        <f>J34-M34</f>
        <v>1516000</v>
      </c>
      <c r="O34" s="1">
        <v>-984000</v>
      </c>
      <c r="P34" s="6">
        <f>J34-M34</f>
        <v>1516000</v>
      </c>
      <c r="Q34" s="6">
        <f>J34+N34</f>
        <v>4016000</v>
      </c>
      <c r="R34" s="6">
        <f t="shared" si="1"/>
        <v>984000</v>
      </c>
    </row>
    <row r="35" spans="2:18" ht="60" x14ac:dyDescent="0.25">
      <c r="B35" s="3" t="s">
        <v>64</v>
      </c>
      <c r="C35" s="4" t="s">
        <v>65</v>
      </c>
      <c r="D35" s="5">
        <v>5961400</v>
      </c>
      <c r="E35" s="5">
        <v>6000000</v>
      </c>
      <c r="F35" s="5">
        <v>6000000</v>
      </c>
      <c r="G35" s="5">
        <v>-38537</v>
      </c>
      <c r="H35" s="5"/>
      <c r="I35" s="5">
        <v>5961400</v>
      </c>
      <c r="J35" s="5">
        <f>F35+G35+H35</f>
        <v>5961463</v>
      </c>
      <c r="K35" s="5">
        <v>5658700</v>
      </c>
      <c r="L35" s="5">
        <v>0</v>
      </c>
      <c r="M35" s="11">
        <f t="shared" si="2"/>
        <v>302763</v>
      </c>
      <c r="N35" s="6">
        <f>D35</f>
        <v>5961400</v>
      </c>
      <c r="Q35" s="12">
        <f>J35</f>
        <v>5961463</v>
      </c>
      <c r="R35" s="6">
        <f t="shared" si="1"/>
        <v>63</v>
      </c>
    </row>
    <row r="36" spans="2:18" ht="45" x14ac:dyDescent="0.25">
      <c r="B36" s="3" t="s">
        <v>66</v>
      </c>
      <c r="C36" s="4" t="s">
        <v>67</v>
      </c>
      <c r="D36" s="5">
        <v>29907511</v>
      </c>
      <c r="E36" s="5">
        <f>E37+E38</f>
        <v>30000000</v>
      </c>
      <c r="F36" s="5">
        <f>F37+F38</f>
        <v>30108000</v>
      </c>
      <c r="G36" s="5"/>
      <c r="H36" s="5"/>
      <c r="I36" s="5">
        <v>29907500</v>
      </c>
      <c r="J36" s="5">
        <f>J37+J38</f>
        <v>29907511</v>
      </c>
      <c r="K36" s="5">
        <f>K37+K38</f>
        <v>31247111</v>
      </c>
      <c r="L36" s="5"/>
      <c r="M36" s="5">
        <v>0</v>
      </c>
      <c r="N36" s="6">
        <f>D36</f>
        <v>29907511</v>
      </c>
      <c r="Q36" s="6">
        <f>J36</f>
        <v>29907511</v>
      </c>
      <c r="R36" s="6">
        <f t="shared" si="1"/>
        <v>11</v>
      </c>
    </row>
    <row r="37" spans="2:18" ht="30" hidden="1" x14ac:dyDescent="0.25">
      <c r="B37" s="7" t="s">
        <v>68</v>
      </c>
      <c r="C37" s="8" t="s">
        <v>69</v>
      </c>
      <c r="D37" s="8"/>
      <c r="E37" s="10">
        <v>9277000</v>
      </c>
      <c r="F37" s="10">
        <v>9277000</v>
      </c>
      <c r="G37" s="10"/>
      <c r="H37" s="10"/>
      <c r="I37" s="10"/>
      <c r="J37" s="10">
        <f>F37+G37+H37</f>
        <v>9277000</v>
      </c>
      <c r="K37" s="10">
        <v>10616600</v>
      </c>
      <c r="L37" s="16">
        <f>J37-K37</f>
        <v>-1339600</v>
      </c>
      <c r="M37" s="10">
        <v>0</v>
      </c>
      <c r="R37" s="6"/>
    </row>
    <row r="38" spans="2:18" ht="30" hidden="1" x14ac:dyDescent="0.25">
      <c r="B38" s="7" t="s">
        <v>70</v>
      </c>
      <c r="C38" s="8" t="s">
        <v>71</v>
      </c>
      <c r="D38" s="8"/>
      <c r="E38" s="10">
        <v>20723000</v>
      </c>
      <c r="F38" s="10">
        <v>20831000</v>
      </c>
      <c r="G38" s="10">
        <v>-200489</v>
      </c>
      <c r="H38" s="10"/>
      <c r="I38" s="10"/>
      <c r="J38" s="10">
        <f>F38+G38+H38</f>
        <v>20630511</v>
      </c>
      <c r="K38" s="10">
        <v>20630511</v>
      </c>
      <c r="L38" s="10">
        <f>J38-K38</f>
        <v>0</v>
      </c>
      <c r="M38" s="10">
        <f t="shared" si="2"/>
        <v>0</v>
      </c>
      <c r="R38" s="6"/>
    </row>
    <row r="39" spans="2:18" ht="15" x14ac:dyDescent="0.25">
      <c r="B39" s="3" t="s">
        <v>72</v>
      </c>
      <c r="C39" s="4" t="s">
        <v>73</v>
      </c>
      <c r="D39" s="5">
        <v>25334000</v>
      </c>
      <c r="E39" s="5">
        <v>25334000</v>
      </c>
      <c r="F39" s="5">
        <v>25334000</v>
      </c>
      <c r="G39" s="5"/>
      <c r="H39" s="5"/>
      <c r="I39" s="5">
        <v>25334000</v>
      </c>
      <c r="J39" s="5">
        <f>F39+G39+H39</f>
        <v>25334000</v>
      </c>
      <c r="K39" s="5">
        <v>24641200</v>
      </c>
      <c r="L39" s="5">
        <v>0</v>
      </c>
      <c r="M39" s="11">
        <f t="shared" si="2"/>
        <v>692800</v>
      </c>
      <c r="N39" s="6">
        <f>D39</f>
        <v>25334000</v>
      </c>
      <c r="Q39" s="12">
        <f>J39</f>
        <v>25334000</v>
      </c>
      <c r="R39" s="6">
        <f t="shared" si="1"/>
        <v>0</v>
      </c>
    </row>
    <row r="40" spans="2:18" ht="15" x14ac:dyDescent="0.25">
      <c r="B40" s="3" t="s">
        <v>74</v>
      </c>
      <c r="C40" s="4" t="s">
        <v>75</v>
      </c>
      <c r="D40" s="5">
        <v>15000000</v>
      </c>
      <c r="E40" s="5">
        <v>15000000</v>
      </c>
      <c r="F40" s="5">
        <v>15000000</v>
      </c>
      <c r="G40" s="5"/>
      <c r="H40" s="5"/>
      <c r="I40" s="5">
        <v>15000000</v>
      </c>
      <c r="J40" s="5">
        <f>F40+G40+H40</f>
        <v>15000000</v>
      </c>
      <c r="K40" s="5">
        <v>15000000</v>
      </c>
      <c r="L40" s="5">
        <v>0</v>
      </c>
      <c r="M40" s="5">
        <v>0</v>
      </c>
      <c r="N40" s="6">
        <f>D40</f>
        <v>15000000</v>
      </c>
      <c r="Q40" s="12">
        <f>J40</f>
        <v>15000000</v>
      </c>
      <c r="R40" s="6">
        <f t="shared" si="1"/>
        <v>0</v>
      </c>
    </row>
    <row r="41" spans="2:18" ht="45" x14ac:dyDescent="0.25">
      <c r="B41" s="3" t="s">
        <v>76</v>
      </c>
      <c r="C41" s="4" t="s">
        <v>77</v>
      </c>
      <c r="D41" s="5">
        <v>1000000</v>
      </c>
      <c r="E41" s="5">
        <v>1000000</v>
      </c>
      <c r="F41" s="5">
        <v>1000000</v>
      </c>
      <c r="G41" s="5"/>
      <c r="H41" s="5"/>
      <c r="I41" s="5">
        <v>1000000</v>
      </c>
      <c r="J41" s="5">
        <f>F41+G41+H41</f>
        <v>1000000</v>
      </c>
      <c r="K41" s="5">
        <v>1000000</v>
      </c>
      <c r="L41" s="5">
        <v>0</v>
      </c>
      <c r="M41" s="5">
        <f>J41-K41</f>
        <v>0</v>
      </c>
      <c r="N41" s="6">
        <f>D41</f>
        <v>1000000</v>
      </c>
      <c r="Q41" s="12">
        <f>J41</f>
        <v>1000000</v>
      </c>
      <c r="R41" s="6">
        <f t="shared" si="1"/>
        <v>0</v>
      </c>
    </row>
    <row r="42" spans="2:18" x14ac:dyDescent="0.3">
      <c r="L42" s="16">
        <f>L19+L23+L28+L29+L33+L37</f>
        <v>-4911009</v>
      </c>
      <c r="M42" s="20">
        <f>M10+M20+M24+M25+M26+M30+M34+M35+M39</f>
        <v>3601118</v>
      </c>
    </row>
    <row r="43" spans="2:18" x14ac:dyDescent="0.3">
      <c r="L43" s="21"/>
    </row>
    <row r="44" spans="2:18" x14ac:dyDescent="0.3">
      <c r="L44" s="22">
        <f>M42+L42</f>
        <v>-1309891</v>
      </c>
    </row>
  </sheetData>
  <mergeCells count="1">
    <mergeCell ref="B8:M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53"/>
  <sheetViews>
    <sheetView workbookViewId="0">
      <selection activeCell="H16" sqref="H16"/>
    </sheetView>
  </sheetViews>
  <sheetFormatPr defaultRowHeight="15.75" x14ac:dyDescent="0.3"/>
  <cols>
    <col min="1" max="1" width="9.140625" style="1"/>
    <col min="2" max="2" width="11.5703125" style="17" bestFit="1" customWidth="1"/>
    <col min="3" max="3" width="37.140625" style="18" bestFit="1" customWidth="1"/>
    <col min="4" max="6" width="16.42578125" style="19" customWidth="1"/>
    <col min="7" max="8" width="21" style="18" customWidth="1"/>
    <col min="9" max="20" width="15" style="19" customWidth="1"/>
    <col min="21" max="22" width="14.7109375" style="19" customWidth="1"/>
    <col min="23" max="23" width="15" style="1" customWidth="1"/>
    <col min="24" max="24" width="18.85546875" style="1" bestFit="1" customWidth="1"/>
    <col min="25" max="25" width="11.42578125" style="1" bestFit="1" customWidth="1"/>
    <col min="26" max="26" width="13.140625" style="1" bestFit="1" customWidth="1"/>
    <col min="27" max="27" width="12.140625" style="1" customWidth="1"/>
    <col min="28" max="16384" width="9.140625" style="1"/>
  </cols>
  <sheetData>
    <row r="1" spans="2:27" ht="30.75" x14ac:dyDescent="0.3">
      <c r="Q1" s="27" t="s">
        <v>120</v>
      </c>
    </row>
    <row r="2" spans="2:27" ht="34.5" customHeight="1" x14ac:dyDescent="0.25">
      <c r="B2" s="2" t="s">
        <v>0</v>
      </c>
      <c r="C2" s="2" t="s">
        <v>1</v>
      </c>
      <c r="D2" s="2" t="s">
        <v>2</v>
      </c>
      <c r="E2" s="2" t="s">
        <v>87</v>
      </c>
      <c r="F2" s="2"/>
      <c r="G2" s="2" t="s">
        <v>86</v>
      </c>
      <c r="H2" s="2"/>
      <c r="I2" s="2" t="s">
        <v>80</v>
      </c>
      <c r="J2" s="25">
        <v>42165</v>
      </c>
      <c r="K2" s="25">
        <v>42230</v>
      </c>
      <c r="L2" s="25">
        <v>42270</v>
      </c>
      <c r="M2" s="25">
        <v>42284</v>
      </c>
      <c r="N2" s="25">
        <v>42293</v>
      </c>
      <c r="O2" s="25">
        <v>42319</v>
      </c>
      <c r="P2" s="25">
        <v>42332</v>
      </c>
      <c r="Q2" s="25">
        <v>42339</v>
      </c>
      <c r="R2" s="25">
        <v>42347</v>
      </c>
      <c r="S2" s="25" t="s">
        <v>119</v>
      </c>
      <c r="T2" s="25" t="s">
        <v>118</v>
      </c>
      <c r="U2" s="2" t="s">
        <v>83</v>
      </c>
      <c r="V2" s="2" t="s">
        <v>84</v>
      </c>
      <c r="W2" s="2" t="s">
        <v>81</v>
      </c>
      <c r="X2" s="2" t="s">
        <v>85</v>
      </c>
      <c r="Y2" s="2" t="s">
        <v>82</v>
      </c>
      <c r="Z2" s="2" t="s">
        <v>8</v>
      </c>
      <c r="AA2" s="2" t="s">
        <v>9</v>
      </c>
    </row>
    <row r="3" spans="2:27" ht="30" x14ac:dyDescent="0.25">
      <c r="B3" s="3" t="s">
        <v>10</v>
      </c>
      <c r="C3" s="4" t="s">
        <v>11</v>
      </c>
      <c r="D3" s="5">
        <v>2000000</v>
      </c>
      <c r="E3" s="5">
        <v>1770000</v>
      </c>
      <c r="F3" s="5"/>
      <c r="G3" s="5">
        <v>1770000</v>
      </c>
      <c r="H3" s="5" t="s">
        <v>90</v>
      </c>
      <c r="I3" s="5">
        <v>1730000</v>
      </c>
      <c r="J3" s="5"/>
      <c r="K3" s="5"/>
      <c r="L3" s="5"/>
      <c r="N3" s="5"/>
      <c r="O3" s="5"/>
      <c r="P3" s="5"/>
      <c r="Q3" s="5" t="s">
        <v>95</v>
      </c>
      <c r="R3" s="5"/>
      <c r="S3" s="5">
        <f>1730000-40000-5700</f>
        <v>1684300</v>
      </c>
      <c r="T3" s="5">
        <v>1656000</v>
      </c>
      <c r="U3" s="5">
        <v>0</v>
      </c>
      <c r="V3" s="5">
        <v>1581687.8</v>
      </c>
      <c r="W3" s="5">
        <v>0</v>
      </c>
      <c r="X3" s="5"/>
      <c r="Y3" s="5">
        <f>U3+V3+W3+X3</f>
        <v>1581687.8</v>
      </c>
      <c r="Z3" s="5">
        <f>T3-Y3</f>
        <v>74312.199999999953</v>
      </c>
      <c r="AA3" s="5"/>
    </row>
    <row r="4" spans="2:27" ht="15" x14ac:dyDescent="0.25">
      <c r="B4" s="3" t="s">
        <v>12</v>
      </c>
      <c r="C4" s="4" t="s">
        <v>13</v>
      </c>
      <c r="D4" s="5">
        <v>8340000</v>
      </c>
      <c r="E4" s="5">
        <v>10090000</v>
      </c>
      <c r="F4" s="5" t="s">
        <v>102</v>
      </c>
      <c r="G4" s="5">
        <v>10389900</v>
      </c>
      <c r="H4" s="5"/>
      <c r="I4" s="5">
        <v>10383662</v>
      </c>
      <c r="J4" s="5"/>
      <c r="K4" s="5"/>
      <c r="L4" s="5"/>
      <c r="M4" s="5"/>
      <c r="N4" s="5"/>
      <c r="O4" s="5"/>
      <c r="P4" s="5"/>
      <c r="Q4" s="5"/>
      <c r="R4" s="5">
        <f>T3-133000</f>
        <v>1523000</v>
      </c>
      <c r="S4" s="5">
        <f>I4+300000</f>
        <v>10683662</v>
      </c>
      <c r="T4" s="5">
        <v>11031512</v>
      </c>
      <c r="U4" s="5">
        <v>0</v>
      </c>
      <c r="V4" s="5">
        <v>10998645.4867</v>
      </c>
      <c r="W4" s="5">
        <v>0</v>
      </c>
      <c r="X4" s="5"/>
      <c r="Y4" s="5">
        <f t="shared" ref="Y4:Y49" si="0">U4+V4+W4+X4</f>
        <v>10998645.4867</v>
      </c>
      <c r="Z4" s="5">
        <f t="shared" ref="Z4:Z49" si="1">T4-Y4</f>
        <v>32866.513299999759</v>
      </c>
      <c r="AA4" s="5"/>
    </row>
    <row r="5" spans="2:27" ht="15" x14ac:dyDescent="0.25">
      <c r="B5" s="3" t="s">
        <v>14</v>
      </c>
      <c r="C5" s="4" t="s">
        <v>15</v>
      </c>
      <c r="D5" s="5">
        <v>1000000</v>
      </c>
      <c r="E5" s="5">
        <v>650000</v>
      </c>
      <c r="F5" s="5"/>
      <c r="G5" s="5">
        <v>650000</v>
      </c>
      <c r="H5" s="5"/>
      <c r="I5" s="5">
        <v>650000</v>
      </c>
      <c r="J5" s="5"/>
      <c r="K5" s="5"/>
      <c r="L5" s="5"/>
      <c r="M5" s="5"/>
      <c r="N5" s="5"/>
      <c r="O5" s="5"/>
      <c r="P5" s="5"/>
      <c r="Q5" s="5"/>
      <c r="R5" s="5">
        <f>S3-R4</f>
        <v>161300</v>
      </c>
      <c r="S5" s="5">
        <f>I5</f>
        <v>650000</v>
      </c>
      <c r="T5" s="5">
        <v>624000</v>
      </c>
      <c r="U5" s="5">
        <v>0</v>
      </c>
      <c r="V5" s="5">
        <v>619168.24</v>
      </c>
      <c r="W5" s="5">
        <v>0</v>
      </c>
      <c r="X5" s="5"/>
      <c r="Y5" s="5">
        <f t="shared" si="0"/>
        <v>619168.24</v>
      </c>
      <c r="Z5" s="5">
        <f t="shared" si="1"/>
        <v>4831.7600000000093</v>
      </c>
      <c r="AA5" s="5"/>
    </row>
    <row r="6" spans="2:27" ht="15" x14ac:dyDescent="0.25">
      <c r="B6" s="3" t="s">
        <v>16</v>
      </c>
      <c r="C6" s="4" t="s">
        <v>17</v>
      </c>
      <c r="D6" s="5">
        <v>1502000</v>
      </c>
      <c r="E6" s="5">
        <v>1402000</v>
      </c>
      <c r="F6" s="5"/>
      <c r="G6" s="5">
        <v>1402000</v>
      </c>
      <c r="H6" s="5"/>
      <c r="I6" s="5">
        <v>1392041</v>
      </c>
      <c r="J6" s="5"/>
      <c r="K6" s="5"/>
      <c r="L6" s="5"/>
      <c r="M6" s="5"/>
      <c r="N6" s="5"/>
      <c r="O6" s="5"/>
      <c r="P6" s="5"/>
      <c r="Q6" s="5"/>
      <c r="R6" s="5"/>
      <c r="S6" s="5">
        <f>I6</f>
        <v>1392041</v>
      </c>
      <c r="T6" s="5">
        <v>1362041</v>
      </c>
      <c r="U6" s="5">
        <v>0</v>
      </c>
      <c r="V6" s="5">
        <v>1357018</v>
      </c>
      <c r="W6" s="5">
        <v>0</v>
      </c>
      <c r="X6" s="5"/>
      <c r="Y6" s="5">
        <f t="shared" si="0"/>
        <v>1357018</v>
      </c>
      <c r="Z6" s="5">
        <f t="shared" si="1"/>
        <v>5023</v>
      </c>
      <c r="AA6" s="5"/>
    </row>
    <row r="7" spans="2:27" ht="30" x14ac:dyDescent="0.25">
      <c r="B7" s="3" t="s">
        <v>18</v>
      </c>
      <c r="C7" s="4" t="s">
        <v>19</v>
      </c>
      <c r="D7" s="5">
        <v>270000</v>
      </c>
      <c r="E7" s="5">
        <v>270000</v>
      </c>
      <c r="F7" s="5"/>
      <c r="G7" s="5">
        <v>270000</v>
      </c>
      <c r="H7" s="5"/>
      <c r="I7" s="5">
        <v>270000</v>
      </c>
      <c r="J7" s="5"/>
      <c r="K7" s="5"/>
      <c r="L7" s="5"/>
      <c r="M7" s="5"/>
      <c r="N7" s="5"/>
      <c r="O7" s="5"/>
      <c r="P7" s="5"/>
      <c r="Q7" s="5"/>
      <c r="R7" s="5"/>
      <c r="S7" s="5">
        <f>I7</f>
        <v>270000</v>
      </c>
      <c r="T7" s="5">
        <v>270000</v>
      </c>
      <c r="U7" s="5">
        <v>0</v>
      </c>
      <c r="V7" s="5">
        <v>270000</v>
      </c>
      <c r="W7" s="5">
        <v>0</v>
      </c>
      <c r="X7" s="5"/>
      <c r="Y7" s="5">
        <f t="shared" si="0"/>
        <v>270000</v>
      </c>
      <c r="Z7" s="5">
        <f t="shared" si="1"/>
        <v>0</v>
      </c>
      <c r="AA7" s="5"/>
    </row>
    <row r="8" spans="2:27" ht="30" x14ac:dyDescent="0.25">
      <c r="B8" s="3" t="s">
        <v>20</v>
      </c>
      <c r="C8" s="4" t="s">
        <v>21</v>
      </c>
      <c r="D8" s="5">
        <f>D9+D10</f>
        <v>10000000</v>
      </c>
      <c r="E8" s="5">
        <v>10000000</v>
      </c>
      <c r="F8" s="5" t="s">
        <v>103</v>
      </c>
      <c r="G8" s="5">
        <v>9885000</v>
      </c>
      <c r="H8" s="5"/>
      <c r="I8" s="5">
        <v>8100030</v>
      </c>
      <c r="J8" s="5"/>
      <c r="K8" s="5"/>
      <c r="L8" s="5"/>
      <c r="M8" s="5"/>
      <c r="N8" s="5"/>
      <c r="O8" s="5"/>
      <c r="P8" s="5"/>
      <c r="Q8" s="5"/>
      <c r="R8" s="5"/>
      <c r="S8" s="5">
        <f>I8</f>
        <v>8100030</v>
      </c>
      <c r="T8" s="5">
        <v>8100030</v>
      </c>
      <c r="U8" s="5">
        <v>7302202.8599999994</v>
      </c>
      <c r="V8" s="5">
        <v>0</v>
      </c>
      <c r="W8" s="5">
        <v>840000</v>
      </c>
      <c r="X8" s="5">
        <v>22550</v>
      </c>
      <c r="Y8" s="5">
        <f t="shared" si="0"/>
        <v>8164752.8599999994</v>
      </c>
      <c r="Z8" s="5">
        <f t="shared" si="1"/>
        <v>-64722.859999999404</v>
      </c>
      <c r="AA8" s="5"/>
    </row>
    <row r="9" spans="2:27" ht="30" x14ac:dyDescent="0.25">
      <c r="B9" s="7" t="s">
        <v>22</v>
      </c>
      <c r="C9" s="8" t="s">
        <v>21</v>
      </c>
      <c r="D9" s="9">
        <v>7975000</v>
      </c>
      <c r="E9" s="5"/>
      <c r="F9" s="5"/>
      <c r="G9" s="8"/>
      <c r="H9" s="5"/>
      <c r="I9" s="10"/>
      <c r="J9" s="10"/>
      <c r="K9" s="10"/>
      <c r="L9" s="10"/>
      <c r="M9" s="10"/>
      <c r="N9" s="5"/>
      <c r="O9" s="10"/>
      <c r="P9" s="10"/>
      <c r="Q9" s="10"/>
      <c r="R9" s="10"/>
      <c r="S9" s="10"/>
      <c r="T9" s="10"/>
      <c r="U9" s="10"/>
      <c r="V9" s="10"/>
      <c r="W9" s="5"/>
      <c r="X9" s="5"/>
      <c r="Y9" s="5">
        <f t="shared" si="0"/>
        <v>0</v>
      </c>
      <c r="Z9" s="5">
        <f t="shared" si="1"/>
        <v>0</v>
      </c>
      <c r="AA9" s="5"/>
    </row>
    <row r="10" spans="2:27" ht="75" x14ac:dyDescent="0.25">
      <c r="B10" s="7" t="s">
        <v>23</v>
      </c>
      <c r="C10" s="8" t="s">
        <v>24</v>
      </c>
      <c r="D10" s="9">
        <v>2025000</v>
      </c>
      <c r="E10" s="5"/>
      <c r="F10" s="5"/>
      <c r="G10" s="8"/>
      <c r="H10" s="5"/>
      <c r="I10" s="13"/>
      <c r="J10" s="13"/>
      <c r="K10" s="13"/>
      <c r="L10" s="13"/>
      <c r="M10" s="13"/>
      <c r="N10" s="5"/>
      <c r="O10" s="13"/>
      <c r="P10" s="13"/>
      <c r="Q10" s="13"/>
      <c r="R10" s="13"/>
      <c r="S10" s="13"/>
      <c r="T10" s="13"/>
      <c r="U10" s="10"/>
      <c r="V10" s="10"/>
      <c r="W10" s="5"/>
      <c r="X10" s="5"/>
      <c r="Y10" s="5">
        <f t="shared" si="0"/>
        <v>0</v>
      </c>
      <c r="Z10" s="5">
        <f t="shared" si="1"/>
        <v>0</v>
      </c>
      <c r="AA10" s="5"/>
    </row>
    <row r="11" spans="2:27" ht="15" x14ac:dyDescent="0.25">
      <c r="B11" s="3" t="s">
        <v>25</v>
      </c>
      <c r="C11" s="4" t="s">
        <v>26</v>
      </c>
      <c r="D11" s="5">
        <f>D12+D13+D14</f>
        <v>11850000</v>
      </c>
      <c r="E11" s="5">
        <v>11760000</v>
      </c>
      <c r="F11" s="5"/>
      <c r="G11" s="5">
        <v>11629100</v>
      </c>
      <c r="H11" s="5"/>
      <c r="I11" s="5">
        <v>11629100</v>
      </c>
      <c r="J11" s="5"/>
      <c r="K11" s="5"/>
      <c r="L11" s="5"/>
      <c r="M11" s="5"/>
      <c r="N11" s="5"/>
      <c r="O11" s="5"/>
      <c r="P11" s="5"/>
      <c r="Q11" s="5"/>
      <c r="R11" s="5"/>
      <c r="S11" s="5">
        <f>I11-1000000</f>
        <v>10629100</v>
      </c>
      <c r="T11" s="5">
        <v>11607900</v>
      </c>
      <c r="U11" s="5">
        <v>9250209.0099999979</v>
      </c>
      <c r="V11" s="5">
        <v>1586884</v>
      </c>
      <c r="W11" s="5">
        <v>990000</v>
      </c>
      <c r="X11" s="5"/>
      <c r="Y11" s="5">
        <f t="shared" si="0"/>
        <v>11827093.009999998</v>
      </c>
      <c r="Z11" s="5">
        <f t="shared" si="1"/>
        <v>-219193.00999999791</v>
      </c>
      <c r="AA11" s="5"/>
    </row>
    <row r="12" spans="2:27" ht="15" x14ac:dyDescent="0.25">
      <c r="B12" s="7" t="s">
        <v>28</v>
      </c>
      <c r="C12" s="14" t="s">
        <v>26</v>
      </c>
      <c r="D12" s="10">
        <v>10000000</v>
      </c>
      <c r="E12" s="5"/>
      <c r="F12" s="5"/>
      <c r="G12" s="14"/>
      <c r="H12" s="5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5"/>
      <c r="X12" s="5"/>
      <c r="Y12" s="5">
        <f t="shared" si="0"/>
        <v>0</v>
      </c>
      <c r="Z12" s="5">
        <f t="shared" si="1"/>
        <v>0</v>
      </c>
      <c r="AA12" s="5"/>
    </row>
    <row r="13" spans="2:27" ht="63.75" x14ac:dyDescent="0.25">
      <c r="B13" s="7" t="s">
        <v>29</v>
      </c>
      <c r="C13" s="14" t="s">
        <v>30</v>
      </c>
      <c r="D13" s="10">
        <v>1000000</v>
      </c>
      <c r="E13" s="5"/>
      <c r="F13" s="5"/>
      <c r="G13" s="14"/>
      <c r="H13" s="5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5"/>
      <c r="X13" s="5"/>
      <c r="Y13" s="5">
        <f t="shared" si="0"/>
        <v>0</v>
      </c>
      <c r="Z13" s="5">
        <f t="shared" si="1"/>
        <v>0</v>
      </c>
      <c r="AA13" s="5"/>
    </row>
    <row r="14" spans="2:27" ht="51" x14ac:dyDescent="0.25">
      <c r="B14" s="7" t="s">
        <v>31</v>
      </c>
      <c r="C14" s="14" t="s">
        <v>32</v>
      </c>
      <c r="D14" s="10">
        <v>850000</v>
      </c>
      <c r="E14" s="5"/>
      <c r="F14" s="5"/>
      <c r="G14" s="14"/>
      <c r="H14" s="5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5"/>
      <c r="X14" s="5"/>
      <c r="Y14" s="5">
        <f t="shared" si="0"/>
        <v>0</v>
      </c>
      <c r="Z14" s="5">
        <f t="shared" si="1"/>
        <v>0</v>
      </c>
      <c r="AA14" s="5"/>
    </row>
    <row r="15" spans="2:27" ht="15" x14ac:dyDescent="0.25">
      <c r="B15" s="3" t="s">
        <v>28</v>
      </c>
      <c r="C15" s="4" t="s">
        <v>26</v>
      </c>
      <c r="D15" s="10">
        <v>10000000</v>
      </c>
      <c r="E15" s="5"/>
      <c r="F15" s="5"/>
      <c r="G15" s="5"/>
      <c r="H15" s="5"/>
      <c r="I15" s="5"/>
      <c r="J15" s="5"/>
      <c r="K15" s="5" t="s">
        <v>104</v>
      </c>
      <c r="L15" s="5"/>
      <c r="M15" s="5"/>
      <c r="N15" s="5"/>
      <c r="O15" s="5"/>
      <c r="P15" s="5"/>
      <c r="Q15" s="5"/>
      <c r="R15" s="5"/>
      <c r="S15" s="5"/>
      <c r="T15" s="5">
        <v>10000100</v>
      </c>
      <c r="U15" s="5"/>
      <c r="V15" s="5"/>
      <c r="W15" s="5"/>
      <c r="X15" s="5"/>
      <c r="Y15" s="5"/>
      <c r="Z15" s="5"/>
      <c r="AA15" s="5"/>
    </row>
    <row r="16" spans="2:27" ht="75" x14ac:dyDescent="0.25">
      <c r="B16" s="3" t="s">
        <v>29</v>
      </c>
      <c r="C16" s="4" t="s">
        <v>30</v>
      </c>
      <c r="D16" s="10">
        <v>1000000</v>
      </c>
      <c r="E16" s="5"/>
      <c r="F16" s="5">
        <f>E11-G16</f>
        <v>9860</v>
      </c>
      <c r="G16" s="5">
        <f>D11-100000+100+40</f>
        <v>11750140</v>
      </c>
      <c r="H16" s="5"/>
      <c r="I16" s="5"/>
      <c r="J16" s="5"/>
      <c r="K16" s="5" t="s">
        <v>105</v>
      </c>
      <c r="L16" s="5"/>
      <c r="M16" s="5"/>
      <c r="N16" s="5"/>
      <c r="O16" s="5"/>
      <c r="P16" s="5"/>
      <c r="Q16" s="5"/>
      <c r="R16" s="5"/>
      <c r="S16" s="5"/>
      <c r="T16" s="5">
        <v>879000</v>
      </c>
      <c r="U16" s="5"/>
      <c r="V16" s="5"/>
      <c r="W16" s="5"/>
      <c r="X16" s="5"/>
      <c r="Y16" s="5"/>
      <c r="Z16" s="5"/>
      <c r="AA16" s="5"/>
    </row>
    <row r="17" spans="2:27" ht="60" x14ac:dyDescent="0.25">
      <c r="B17" s="3" t="s">
        <v>31</v>
      </c>
      <c r="C17" s="4" t="s">
        <v>32</v>
      </c>
      <c r="D17" s="10">
        <v>850000</v>
      </c>
      <c r="E17" s="5"/>
      <c r="F17" s="5"/>
      <c r="G17" s="5"/>
      <c r="H17" s="5"/>
      <c r="I17" s="5"/>
      <c r="J17" s="5" t="s">
        <v>91</v>
      </c>
      <c r="K17" s="5"/>
      <c r="L17" s="5"/>
      <c r="M17" s="5"/>
      <c r="N17" s="5"/>
      <c r="O17" s="5"/>
      <c r="P17" s="5"/>
      <c r="Q17" s="5"/>
      <c r="R17" s="5"/>
      <c r="S17" s="5"/>
      <c r="T17" s="5">
        <v>728800</v>
      </c>
      <c r="U17" s="5"/>
      <c r="V17" s="5"/>
      <c r="W17" s="5"/>
      <c r="X17" s="5"/>
      <c r="Y17" s="5"/>
      <c r="Z17" s="5"/>
      <c r="AA17" s="5"/>
    </row>
    <row r="18" spans="2:27" ht="15" x14ac:dyDescent="0.25">
      <c r="B18" s="3" t="s">
        <v>33</v>
      </c>
      <c r="C18" s="15" t="s">
        <v>34</v>
      </c>
      <c r="D18" s="5">
        <f>D19+D20+D21</f>
        <v>6400000</v>
      </c>
      <c r="E18" s="5">
        <v>6150000</v>
      </c>
      <c r="F18" s="5"/>
      <c r="G18" s="5">
        <v>6330100</v>
      </c>
      <c r="H18" s="5"/>
      <c r="I18" s="5">
        <v>6322731</v>
      </c>
      <c r="J18" s="5"/>
      <c r="K18" s="5"/>
      <c r="L18" s="5"/>
      <c r="M18" s="5"/>
      <c r="N18" s="5"/>
      <c r="O18" s="5"/>
      <c r="P18" s="5"/>
      <c r="Q18" s="5"/>
      <c r="R18" s="5"/>
      <c r="S18" s="5">
        <f>I18</f>
        <v>6322731</v>
      </c>
      <c r="T18" s="5">
        <v>5892731</v>
      </c>
      <c r="U18" s="5">
        <v>3812572.14</v>
      </c>
      <c r="V18" s="5">
        <v>1596758.28</v>
      </c>
      <c r="W18" s="5">
        <v>365000</v>
      </c>
      <c r="X18" s="5">
        <v>2790</v>
      </c>
      <c r="Y18" s="5">
        <f t="shared" si="0"/>
        <v>5777120.4199999999</v>
      </c>
      <c r="Z18" s="5">
        <f t="shared" si="1"/>
        <v>115610.58000000007</v>
      </c>
      <c r="AA18" s="5"/>
    </row>
    <row r="19" spans="2:27" ht="15" hidden="1" x14ac:dyDescent="0.25">
      <c r="B19" s="7" t="s">
        <v>35</v>
      </c>
      <c r="C19" s="14" t="s">
        <v>34</v>
      </c>
      <c r="D19" s="5">
        <v>4000000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>
        <f t="shared" si="0"/>
        <v>0</v>
      </c>
      <c r="Z19" s="5">
        <f t="shared" si="1"/>
        <v>0</v>
      </c>
      <c r="AA19" s="5"/>
    </row>
    <row r="20" spans="2:27" ht="63.75" hidden="1" x14ac:dyDescent="0.25">
      <c r="B20" s="7" t="s">
        <v>36</v>
      </c>
      <c r="C20" s="14" t="s">
        <v>37</v>
      </c>
      <c r="D20" s="5">
        <v>700000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>
        <f t="shared" si="0"/>
        <v>0</v>
      </c>
      <c r="Z20" s="5">
        <f t="shared" si="1"/>
        <v>0</v>
      </c>
      <c r="AA20" s="5"/>
    </row>
    <row r="21" spans="2:27" ht="114.75" hidden="1" x14ac:dyDescent="0.25">
      <c r="B21" s="7" t="s">
        <v>38</v>
      </c>
      <c r="C21" s="14" t="s">
        <v>39</v>
      </c>
      <c r="D21" s="5">
        <v>1700000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>
        <f t="shared" si="0"/>
        <v>0</v>
      </c>
      <c r="Z21" s="5">
        <f t="shared" si="1"/>
        <v>0</v>
      </c>
      <c r="AA21" s="5"/>
    </row>
    <row r="22" spans="2:27" ht="15" x14ac:dyDescent="0.25">
      <c r="B22" s="3" t="s">
        <v>35</v>
      </c>
      <c r="C22" s="15" t="s">
        <v>34</v>
      </c>
      <c r="D22" s="5"/>
      <c r="E22" s="5"/>
      <c r="F22" s="5"/>
      <c r="G22" s="5"/>
      <c r="H22" s="5"/>
      <c r="I22" s="5"/>
      <c r="J22" s="5"/>
      <c r="K22" s="5" t="s">
        <v>106</v>
      </c>
      <c r="L22" s="5"/>
      <c r="M22" s="5"/>
      <c r="N22" s="5"/>
      <c r="O22" s="5"/>
      <c r="P22" s="5"/>
      <c r="Q22" s="5"/>
      <c r="R22" s="5"/>
      <c r="S22" s="5"/>
      <c r="T22" s="5">
        <v>4180100</v>
      </c>
      <c r="U22" s="5"/>
      <c r="V22" s="5"/>
      <c r="W22" s="5"/>
      <c r="X22" s="5"/>
      <c r="Y22" s="5"/>
      <c r="Z22" s="5"/>
      <c r="AA22" s="5"/>
    </row>
    <row r="23" spans="2:27" ht="63.75" x14ac:dyDescent="0.25">
      <c r="B23" s="3" t="s">
        <v>36</v>
      </c>
      <c r="C23" s="15" t="s">
        <v>37</v>
      </c>
      <c r="D23" s="5"/>
      <c r="E23" s="5"/>
      <c r="F23" s="5"/>
      <c r="G23" s="5"/>
      <c r="H23" s="5">
        <f t="shared" ref="H23:H53" si="2">G23-I23</f>
        <v>0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>
        <v>442631</v>
      </c>
      <c r="U23" s="5"/>
      <c r="V23" s="5"/>
      <c r="W23" s="5"/>
      <c r="X23" s="5"/>
      <c r="Y23" s="5"/>
      <c r="Z23" s="5"/>
      <c r="AA23" s="5"/>
    </row>
    <row r="24" spans="2:27" ht="114.75" x14ac:dyDescent="0.25">
      <c r="B24" s="3" t="s">
        <v>38</v>
      </c>
      <c r="C24" s="15" t="s">
        <v>39</v>
      </c>
      <c r="D24" s="5"/>
      <c r="E24" s="5"/>
      <c r="F24" s="5"/>
      <c r="G24" s="5"/>
      <c r="H24" s="5">
        <f t="shared" si="2"/>
        <v>0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>
        <v>1270000</v>
      </c>
      <c r="U24" s="5"/>
      <c r="V24" s="5"/>
      <c r="W24" s="5"/>
      <c r="X24" s="5"/>
      <c r="Y24" s="5"/>
      <c r="Z24" s="5"/>
      <c r="AA24" s="5"/>
    </row>
    <row r="25" spans="2:27" ht="25.5" x14ac:dyDescent="0.25">
      <c r="B25" s="3" t="s">
        <v>40</v>
      </c>
      <c r="C25" s="15" t="s">
        <v>41</v>
      </c>
      <c r="D25" s="5">
        <f>D26+D27</f>
        <v>6000000</v>
      </c>
      <c r="E25" s="5">
        <v>5920000</v>
      </c>
      <c r="F25" s="5"/>
      <c r="G25" s="5">
        <v>6200300</v>
      </c>
      <c r="H25" s="5">
        <f t="shared" si="2"/>
        <v>43277</v>
      </c>
      <c r="I25" s="5">
        <v>6157023</v>
      </c>
      <c r="J25" s="5"/>
      <c r="K25" s="5"/>
      <c r="L25" s="5"/>
      <c r="M25" s="5"/>
      <c r="N25" s="5"/>
      <c r="O25" s="5"/>
      <c r="P25" s="5"/>
      <c r="Q25" s="5"/>
      <c r="R25" s="5"/>
      <c r="S25" s="5">
        <f>I25+40000-23628</f>
        <v>6173395</v>
      </c>
      <c r="T25" s="5">
        <v>6133395</v>
      </c>
      <c r="U25" s="5">
        <v>5383566.4699999997</v>
      </c>
      <c r="V25" s="5">
        <v>333121</v>
      </c>
      <c r="W25" s="5">
        <v>516000</v>
      </c>
      <c r="X25" s="5">
        <v>22532</v>
      </c>
      <c r="Y25" s="5">
        <f t="shared" si="0"/>
        <v>6255219.4699999997</v>
      </c>
      <c r="Z25" s="5">
        <f t="shared" si="1"/>
        <v>-121824.46999999974</v>
      </c>
      <c r="AA25" s="5"/>
    </row>
    <row r="26" spans="2:27" ht="25.5" hidden="1" x14ac:dyDescent="0.25">
      <c r="B26" s="7" t="s">
        <v>42</v>
      </c>
      <c r="C26" s="14" t="s">
        <v>41</v>
      </c>
      <c r="D26" s="5">
        <v>5459000</v>
      </c>
      <c r="E26" s="5"/>
      <c r="F26" s="5"/>
      <c r="G26" s="5"/>
      <c r="H26" s="5">
        <f t="shared" si="2"/>
        <v>0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>
        <f t="shared" si="0"/>
        <v>0</v>
      </c>
      <c r="Z26" s="5">
        <f t="shared" si="1"/>
        <v>0</v>
      </c>
      <c r="AA26" s="5"/>
    </row>
    <row r="27" spans="2:27" ht="76.5" hidden="1" x14ac:dyDescent="0.25">
      <c r="B27" s="7" t="s">
        <v>43</v>
      </c>
      <c r="C27" s="14" t="s">
        <v>44</v>
      </c>
      <c r="D27" s="5">
        <v>541000</v>
      </c>
      <c r="E27" s="5"/>
      <c r="F27" s="5"/>
      <c r="G27" s="5"/>
      <c r="H27" s="5">
        <f t="shared" si="2"/>
        <v>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>
        <f t="shared" si="0"/>
        <v>0</v>
      </c>
      <c r="Z27" s="5">
        <f t="shared" si="1"/>
        <v>0</v>
      </c>
      <c r="AA27" s="5"/>
    </row>
    <row r="28" spans="2:27" ht="25.5" x14ac:dyDescent="0.25">
      <c r="B28" s="3" t="s">
        <v>42</v>
      </c>
      <c r="C28" s="15" t="s">
        <v>41</v>
      </c>
      <c r="D28" s="5"/>
      <c r="E28" s="5"/>
      <c r="F28" s="5"/>
      <c r="G28" s="5"/>
      <c r="H28" s="5">
        <f t="shared" si="2"/>
        <v>0</v>
      </c>
      <c r="I28" s="5"/>
      <c r="J28" s="5"/>
      <c r="K28" s="5" t="s">
        <v>107</v>
      </c>
      <c r="L28" s="5"/>
      <c r="M28" s="5" t="s">
        <v>89</v>
      </c>
      <c r="N28" s="5"/>
      <c r="O28" s="5"/>
      <c r="P28" s="5"/>
      <c r="Q28" s="5" t="s">
        <v>96</v>
      </c>
      <c r="R28" s="5"/>
      <c r="S28" s="5"/>
      <c r="T28" s="5">
        <v>5799900</v>
      </c>
      <c r="U28" s="5"/>
      <c r="V28" s="5"/>
      <c r="W28" s="5"/>
      <c r="X28" s="5"/>
      <c r="Y28" s="5"/>
      <c r="Z28" s="5"/>
      <c r="AA28" s="5"/>
    </row>
    <row r="29" spans="2:27" ht="76.5" x14ac:dyDescent="0.25">
      <c r="B29" s="3" t="s">
        <v>43</v>
      </c>
      <c r="C29" s="15" t="s">
        <v>44</v>
      </c>
      <c r="D29" s="5"/>
      <c r="E29" s="5"/>
      <c r="F29" s="5"/>
      <c r="G29" s="5"/>
      <c r="H29" s="5">
        <f t="shared" si="2"/>
        <v>0</v>
      </c>
      <c r="I29" s="5"/>
      <c r="J29" s="5"/>
      <c r="K29" s="5" t="s">
        <v>108</v>
      </c>
      <c r="L29" s="5"/>
      <c r="M29" s="5"/>
      <c r="N29" s="5"/>
      <c r="O29" s="5"/>
      <c r="P29" s="5"/>
      <c r="Q29" s="5"/>
      <c r="R29" s="5"/>
      <c r="S29" s="5"/>
      <c r="T29" s="5">
        <v>333495</v>
      </c>
      <c r="U29" s="5"/>
      <c r="V29" s="5"/>
      <c r="W29" s="5"/>
      <c r="X29" s="5"/>
      <c r="Y29" s="5"/>
      <c r="Z29" s="5"/>
      <c r="AA29" s="5"/>
    </row>
    <row r="30" spans="2:27" ht="15" x14ac:dyDescent="0.25">
      <c r="B30" s="3" t="s">
        <v>45</v>
      </c>
      <c r="C30" s="4" t="s">
        <v>46</v>
      </c>
      <c r="D30" s="5">
        <v>4800000</v>
      </c>
      <c r="E30" s="5">
        <v>4800000</v>
      </c>
      <c r="F30" s="5"/>
      <c r="G30" s="5">
        <v>4353400</v>
      </c>
      <c r="H30" s="5">
        <f t="shared" si="2"/>
        <v>0</v>
      </c>
      <c r="I30" s="5">
        <v>4353400</v>
      </c>
      <c r="J30" s="5"/>
      <c r="K30" s="5" t="s">
        <v>109</v>
      </c>
      <c r="L30" s="5"/>
      <c r="M30" s="5"/>
      <c r="N30" s="5"/>
      <c r="O30" s="5"/>
      <c r="P30" s="5"/>
      <c r="Q30" s="5" t="s">
        <v>97</v>
      </c>
      <c r="R30" s="5"/>
      <c r="S30" s="5">
        <f>I30-5677</f>
        <v>4347723</v>
      </c>
      <c r="T30" s="5">
        <v>4347723</v>
      </c>
      <c r="U30" s="5">
        <v>3952947.68</v>
      </c>
      <c r="V30" s="5">
        <v>0</v>
      </c>
      <c r="W30" s="5">
        <v>310375</v>
      </c>
      <c r="X30" s="5">
        <v>15</v>
      </c>
      <c r="Y30" s="5">
        <f t="shared" si="0"/>
        <v>4263337.68</v>
      </c>
      <c r="Z30" s="5">
        <f t="shared" si="1"/>
        <v>84385.320000000298</v>
      </c>
      <c r="AA30" s="5"/>
    </row>
    <row r="31" spans="2:27" ht="30.75" thickBot="1" x14ac:dyDescent="0.3">
      <c r="B31" s="3" t="s">
        <v>47</v>
      </c>
      <c r="C31" s="4" t="s">
        <v>48</v>
      </c>
      <c r="D31" s="5">
        <v>200000</v>
      </c>
      <c r="E31" s="5">
        <v>200000</v>
      </c>
      <c r="F31" s="5"/>
      <c r="G31" s="5">
        <v>200000</v>
      </c>
      <c r="H31" s="5">
        <f t="shared" si="2"/>
        <v>0</v>
      </c>
      <c r="I31" s="5">
        <v>200000</v>
      </c>
      <c r="J31" s="5"/>
      <c r="K31" s="5"/>
      <c r="L31" s="5"/>
      <c r="M31" s="5"/>
      <c r="N31" s="5"/>
      <c r="O31" s="5"/>
      <c r="P31" s="5"/>
      <c r="Q31" s="5" t="s">
        <v>98</v>
      </c>
      <c r="R31" s="5"/>
      <c r="S31" s="5">
        <f>I31-23910</f>
        <v>176090</v>
      </c>
      <c r="T31" s="5">
        <v>150290</v>
      </c>
      <c r="U31" s="5">
        <v>0</v>
      </c>
      <c r="V31" s="5">
        <v>150077</v>
      </c>
      <c r="W31" s="5">
        <v>0</v>
      </c>
      <c r="X31" s="5"/>
      <c r="Y31" s="5">
        <f t="shared" si="0"/>
        <v>150077</v>
      </c>
      <c r="Z31" s="5">
        <f t="shared" si="1"/>
        <v>213</v>
      </c>
      <c r="AA31" s="5"/>
    </row>
    <row r="32" spans="2:27" ht="16.5" thickTop="1" thickBot="1" x14ac:dyDescent="0.3">
      <c r="B32" s="3" t="s">
        <v>51</v>
      </c>
      <c r="C32" s="4" t="s">
        <v>52</v>
      </c>
      <c r="D32" s="5">
        <v>15000000</v>
      </c>
      <c r="E32" s="5">
        <v>15000000</v>
      </c>
      <c r="F32" s="5"/>
      <c r="G32" s="5">
        <v>15645400</v>
      </c>
      <c r="H32" s="5">
        <f t="shared" si="2"/>
        <v>0</v>
      </c>
      <c r="I32" s="5">
        <v>15645400</v>
      </c>
      <c r="J32" s="5"/>
      <c r="K32" s="5" t="s">
        <v>110</v>
      </c>
      <c r="L32" s="5"/>
      <c r="M32" s="5"/>
      <c r="N32" s="5"/>
      <c r="O32" s="5"/>
      <c r="P32" s="5"/>
      <c r="Q32" s="5"/>
      <c r="R32" s="5"/>
      <c r="S32" s="5">
        <f>I32</f>
        <v>15645400</v>
      </c>
      <c r="T32" s="26">
        <v>15645400</v>
      </c>
      <c r="U32" s="5">
        <v>14721204.850000001</v>
      </c>
      <c r="V32" s="5">
        <v>0</v>
      </c>
      <c r="W32" s="5">
        <v>1377738</v>
      </c>
      <c r="X32" s="5">
        <v>15690</v>
      </c>
      <c r="Y32" s="5">
        <f t="shared" si="0"/>
        <v>16114632.850000001</v>
      </c>
      <c r="Z32" s="5">
        <f t="shared" si="1"/>
        <v>-469232.85000000149</v>
      </c>
      <c r="AA32" s="5"/>
    </row>
    <row r="33" spans="2:27" thickTop="1" x14ac:dyDescent="0.25">
      <c r="B33" s="3" t="s">
        <v>53</v>
      </c>
      <c r="C33" s="4" t="s">
        <v>54</v>
      </c>
      <c r="D33" s="5">
        <v>6500000</v>
      </c>
      <c r="E33" s="5">
        <v>6500000</v>
      </c>
      <c r="F33" s="5"/>
      <c r="G33" s="5">
        <v>7656100</v>
      </c>
      <c r="H33" s="5">
        <f t="shared" si="2"/>
        <v>1780</v>
      </c>
      <c r="I33" s="5">
        <v>7654320</v>
      </c>
      <c r="J33" s="5"/>
      <c r="K33" s="5" t="s">
        <v>111</v>
      </c>
      <c r="L33" s="5"/>
      <c r="M33" s="5"/>
      <c r="N33" s="5"/>
      <c r="O33" s="5"/>
      <c r="P33" s="5"/>
      <c r="Q33" s="5"/>
      <c r="R33" s="5"/>
      <c r="S33" s="5">
        <f>I33</f>
        <v>7654320</v>
      </c>
      <c r="T33" s="5">
        <v>7654320</v>
      </c>
      <c r="U33" s="5">
        <v>7040663.8700000001</v>
      </c>
      <c r="V33" s="5">
        <v>0</v>
      </c>
      <c r="W33" s="5">
        <v>135656.5</v>
      </c>
      <c r="X33" s="5">
        <v>270</v>
      </c>
      <c r="Y33" s="5">
        <f t="shared" si="0"/>
        <v>7176590.3700000001</v>
      </c>
      <c r="Z33" s="5">
        <f t="shared" si="1"/>
        <v>477729.62999999989</v>
      </c>
      <c r="AA33" s="5"/>
    </row>
    <row r="34" spans="2:27" ht="30" x14ac:dyDescent="0.25">
      <c r="B34" s="3" t="s">
        <v>55</v>
      </c>
      <c r="C34" s="4" t="s">
        <v>56</v>
      </c>
      <c r="D34" s="5">
        <v>2000000</v>
      </c>
      <c r="E34" s="5">
        <v>2000000</v>
      </c>
      <c r="F34" s="5"/>
      <c r="G34" s="5">
        <v>1274000</v>
      </c>
      <c r="H34" s="5">
        <f t="shared" si="2"/>
        <v>0</v>
      </c>
      <c r="I34" s="5">
        <v>1274000</v>
      </c>
      <c r="J34" s="5"/>
      <c r="K34" s="5" t="s">
        <v>112</v>
      </c>
      <c r="L34" s="5"/>
      <c r="M34" s="5"/>
      <c r="N34" s="5"/>
      <c r="O34" s="5"/>
      <c r="P34" s="5"/>
      <c r="Q34" s="5"/>
      <c r="R34" s="5"/>
      <c r="S34" s="5">
        <f>I34</f>
        <v>1274000</v>
      </c>
      <c r="T34" s="5">
        <v>1274000</v>
      </c>
      <c r="U34" s="5">
        <v>1167833.26</v>
      </c>
      <c r="V34" s="5">
        <v>0</v>
      </c>
      <c r="W34" s="5">
        <v>106166.66</v>
      </c>
      <c r="X34" s="5"/>
      <c r="Y34" s="5">
        <f t="shared" si="0"/>
        <v>1273999.92</v>
      </c>
      <c r="Z34" s="5">
        <f t="shared" si="1"/>
        <v>8.0000000074505806E-2</v>
      </c>
      <c r="AA34" s="5"/>
    </row>
    <row r="35" spans="2:27" ht="25.5" x14ac:dyDescent="0.25">
      <c r="B35" s="3" t="s">
        <v>57</v>
      </c>
      <c r="C35" s="15" t="s">
        <v>58</v>
      </c>
      <c r="D35" s="5">
        <f>D36+D37</f>
        <v>29465000</v>
      </c>
      <c r="E35" s="5">
        <v>29465000</v>
      </c>
      <c r="F35" s="5"/>
      <c r="G35" s="5">
        <v>29032400</v>
      </c>
      <c r="H35" s="5">
        <f t="shared" si="2"/>
        <v>79474</v>
      </c>
      <c r="I35" s="5">
        <v>28952926</v>
      </c>
      <c r="J35" s="5"/>
      <c r="K35" s="5" t="s">
        <v>113</v>
      </c>
      <c r="L35" s="5"/>
      <c r="M35" s="5">
        <f>G35+2350000</f>
        <v>31382400</v>
      </c>
      <c r="N35" s="5"/>
      <c r="O35" s="5"/>
      <c r="P35" s="5" t="s">
        <v>93</v>
      </c>
      <c r="Q35" s="5" t="s">
        <v>99</v>
      </c>
      <c r="R35" s="5"/>
      <c r="S35" s="5">
        <f>I35+2350000-419881</f>
        <v>30883045</v>
      </c>
      <c r="T35" s="5">
        <v>30883045</v>
      </c>
      <c r="U35" s="5">
        <v>20250572.349999998</v>
      </c>
      <c r="V35" s="5">
        <v>0</v>
      </c>
      <c r="W35" s="5">
        <v>1151454.3999999999</v>
      </c>
      <c r="X35" s="5"/>
      <c r="Y35" s="5">
        <f t="shared" si="0"/>
        <v>21402026.749999996</v>
      </c>
      <c r="Z35" s="5">
        <f t="shared" si="1"/>
        <v>9481018.2500000037</v>
      </c>
      <c r="AA35" s="5"/>
    </row>
    <row r="36" spans="2:27" ht="25.5" hidden="1" x14ac:dyDescent="0.25">
      <c r="B36" s="7" t="s">
        <v>59</v>
      </c>
      <c r="C36" s="14" t="s">
        <v>58</v>
      </c>
      <c r="D36" s="5">
        <v>13597000</v>
      </c>
      <c r="E36" s="5"/>
      <c r="F36" s="5"/>
      <c r="G36" s="5"/>
      <c r="H36" s="5">
        <f t="shared" si="2"/>
        <v>0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>
        <v>0</v>
      </c>
      <c r="W36" s="5"/>
      <c r="X36" s="5"/>
      <c r="Y36" s="5">
        <f t="shared" si="0"/>
        <v>0</v>
      </c>
      <c r="Z36" s="5">
        <f t="shared" si="1"/>
        <v>0</v>
      </c>
      <c r="AA36" s="5"/>
    </row>
    <row r="37" spans="2:27" ht="63.75" hidden="1" x14ac:dyDescent="0.25">
      <c r="B37" s="7" t="s">
        <v>60</v>
      </c>
      <c r="C37" s="14" t="s">
        <v>61</v>
      </c>
      <c r="D37" s="5">
        <v>15868000</v>
      </c>
      <c r="E37" s="5"/>
      <c r="F37" s="5"/>
      <c r="G37" s="5"/>
      <c r="H37" s="5">
        <f t="shared" si="2"/>
        <v>0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>
        <v>0</v>
      </c>
      <c r="W37" s="5"/>
      <c r="X37" s="5"/>
      <c r="Y37" s="5">
        <f t="shared" si="0"/>
        <v>0</v>
      </c>
      <c r="Z37" s="5">
        <f t="shared" si="1"/>
        <v>0</v>
      </c>
      <c r="AA37" s="5"/>
    </row>
    <row r="38" spans="2:27" ht="25.5" x14ac:dyDescent="0.25">
      <c r="B38" s="3" t="s">
        <v>59</v>
      </c>
      <c r="C38" s="15" t="s">
        <v>58</v>
      </c>
      <c r="D38" s="5"/>
      <c r="E38" s="5"/>
      <c r="F38" s="5">
        <f>E35-G35</f>
        <v>432600</v>
      </c>
      <c r="G38" s="5"/>
      <c r="H38" s="5">
        <f t="shared" si="2"/>
        <v>0</v>
      </c>
      <c r="I38" s="5"/>
      <c r="J38" s="5"/>
      <c r="K38" s="5"/>
      <c r="L38" s="5"/>
      <c r="M38" s="5">
        <f>M35-T35</f>
        <v>499355</v>
      </c>
      <c r="N38" s="5"/>
      <c r="O38" s="5"/>
      <c r="P38" s="5"/>
      <c r="Q38" s="5"/>
      <c r="R38" s="5"/>
      <c r="S38" s="5"/>
      <c r="T38" s="5">
        <v>24745685</v>
      </c>
      <c r="U38" s="5"/>
      <c r="V38" s="5"/>
      <c r="W38" s="5"/>
      <c r="X38" s="5"/>
      <c r="Y38" s="5"/>
      <c r="Z38" s="5"/>
      <c r="AA38" s="5"/>
    </row>
    <row r="39" spans="2:27" ht="63.75" x14ac:dyDescent="0.25">
      <c r="B39" s="3" t="s">
        <v>60</v>
      </c>
      <c r="C39" s="15" t="s">
        <v>61</v>
      </c>
      <c r="D39" s="5"/>
      <c r="E39" s="5"/>
      <c r="F39" s="5"/>
      <c r="G39" s="5"/>
      <c r="H39" s="5">
        <f t="shared" si="2"/>
        <v>0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>
        <v>6137360</v>
      </c>
      <c r="U39" s="5"/>
      <c r="V39" s="5"/>
      <c r="W39" s="5"/>
      <c r="X39" s="5"/>
      <c r="Y39" s="5"/>
      <c r="Z39" s="5"/>
      <c r="AA39" s="5"/>
    </row>
    <row r="40" spans="2:27" ht="30" x14ac:dyDescent="0.25">
      <c r="B40" s="3" t="s">
        <v>62</v>
      </c>
      <c r="C40" s="4" t="s">
        <v>63</v>
      </c>
      <c r="D40" s="5">
        <v>2500000</v>
      </c>
      <c r="E40" s="5">
        <v>2500000</v>
      </c>
      <c r="F40" s="5"/>
      <c r="G40" s="5">
        <v>1516000</v>
      </c>
      <c r="H40" s="5">
        <f t="shared" si="2"/>
        <v>0</v>
      </c>
      <c r="I40" s="5">
        <v>1516000</v>
      </c>
      <c r="J40" s="5"/>
      <c r="K40" s="5" t="s">
        <v>114</v>
      </c>
      <c r="L40" s="5"/>
      <c r="M40" s="5"/>
      <c r="N40" s="5"/>
      <c r="O40" s="5"/>
      <c r="P40" s="5"/>
      <c r="Q40" s="5"/>
      <c r="R40" s="5"/>
      <c r="S40" s="5">
        <f>I40</f>
        <v>1516000</v>
      </c>
      <c r="T40" s="5">
        <v>1516000</v>
      </c>
      <c r="U40" s="5">
        <v>1262589.3700000001</v>
      </c>
      <c r="V40" s="5">
        <v>0</v>
      </c>
      <c r="W40" s="5">
        <v>52000</v>
      </c>
      <c r="X40" s="5"/>
      <c r="Y40" s="5">
        <f t="shared" si="0"/>
        <v>1314589.3700000001</v>
      </c>
      <c r="Z40" s="5">
        <f t="shared" si="1"/>
        <v>201410.62999999989</v>
      </c>
      <c r="AA40" s="5"/>
    </row>
    <row r="41" spans="2:27" ht="60" x14ac:dyDescent="0.25">
      <c r="B41" s="3" t="s">
        <v>64</v>
      </c>
      <c r="C41" s="4" t="s">
        <v>65</v>
      </c>
      <c r="D41" s="5">
        <v>6000000</v>
      </c>
      <c r="E41" s="5">
        <v>6000000</v>
      </c>
      <c r="F41" s="5"/>
      <c r="G41" s="5">
        <v>5961500</v>
      </c>
      <c r="H41" s="5">
        <f t="shared" si="2"/>
        <v>-20</v>
      </c>
      <c r="I41" s="5">
        <v>5961520</v>
      </c>
      <c r="J41" s="5"/>
      <c r="K41" s="5" t="s">
        <v>115</v>
      </c>
      <c r="L41" s="5"/>
      <c r="M41" s="5"/>
      <c r="N41" s="5"/>
      <c r="O41" s="5"/>
      <c r="P41" s="5"/>
      <c r="Q41" s="5" t="s">
        <v>100</v>
      </c>
      <c r="R41" s="5"/>
      <c r="S41" s="5">
        <f>I41-319</f>
        <v>5961201</v>
      </c>
      <c r="T41" s="5">
        <v>5961201</v>
      </c>
      <c r="U41" s="5">
        <v>4705991.24</v>
      </c>
      <c r="V41" s="5">
        <v>0</v>
      </c>
      <c r="W41" s="5">
        <v>40833</v>
      </c>
      <c r="X41" s="5">
        <v>630</v>
      </c>
      <c r="Y41" s="5">
        <f t="shared" si="0"/>
        <v>4747454.24</v>
      </c>
      <c r="Z41" s="5">
        <f t="shared" si="1"/>
        <v>1213746.7599999998</v>
      </c>
      <c r="AA41" s="5"/>
    </row>
    <row r="42" spans="2:27" ht="45" x14ac:dyDescent="0.25">
      <c r="B42" s="3" t="s">
        <v>66</v>
      </c>
      <c r="C42" s="4" t="s">
        <v>67</v>
      </c>
      <c r="D42" s="5">
        <f>D43+D44</f>
        <v>30000000</v>
      </c>
      <c r="E42" s="5">
        <v>30108000</v>
      </c>
      <c r="F42" s="5"/>
      <c r="G42" s="5">
        <v>29907500</v>
      </c>
      <c r="H42" s="5">
        <f t="shared" si="2"/>
        <v>-2001251</v>
      </c>
      <c r="I42" s="5">
        <v>31908751</v>
      </c>
      <c r="J42" s="5"/>
      <c r="K42" s="5"/>
      <c r="L42" s="5"/>
      <c r="M42" s="5"/>
      <c r="N42" s="5"/>
      <c r="O42" s="5"/>
      <c r="P42" s="5"/>
      <c r="Q42" s="5" t="s">
        <v>101</v>
      </c>
      <c r="R42" s="5"/>
      <c r="S42" s="5">
        <f>I42-47620</f>
        <v>31861131</v>
      </c>
      <c r="T42" s="5">
        <v>31861131</v>
      </c>
      <c r="U42" s="5">
        <v>8931263.8100000005</v>
      </c>
      <c r="V42" s="5">
        <v>0</v>
      </c>
      <c r="W42" s="5">
        <v>747399.67</v>
      </c>
      <c r="X42" s="5">
        <v>18112493.09</v>
      </c>
      <c r="Y42" s="5">
        <f>U42+V42+W42+X42+1700000</f>
        <v>29491156.57</v>
      </c>
      <c r="Z42" s="5">
        <f t="shared" si="1"/>
        <v>2369974.4299999997</v>
      </c>
      <c r="AA42" s="5"/>
    </row>
    <row r="43" spans="2:27" ht="30" hidden="1" x14ac:dyDescent="0.25">
      <c r="B43" s="7" t="s">
        <v>68</v>
      </c>
      <c r="C43" s="8" t="s">
        <v>69</v>
      </c>
      <c r="D43" s="5">
        <v>9277000</v>
      </c>
      <c r="E43" s="5"/>
      <c r="F43" s="5"/>
      <c r="G43" s="5"/>
      <c r="H43" s="5">
        <f t="shared" si="2"/>
        <v>0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>
        <v>0</v>
      </c>
      <c r="W43" s="5"/>
      <c r="X43" s="5"/>
      <c r="Y43" s="5">
        <f t="shared" si="0"/>
        <v>0</v>
      </c>
      <c r="Z43" s="5">
        <f t="shared" si="1"/>
        <v>0</v>
      </c>
      <c r="AA43" s="5"/>
    </row>
    <row r="44" spans="2:27" ht="30" hidden="1" x14ac:dyDescent="0.25">
      <c r="B44" s="7" t="s">
        <v>70</v>
      </c>
      <c r="C44" s="8" t="s">
        <v>71</v>
      </c>
      <c r="D44" s="5">
        <v>20723000</v>
      </c>
      <c r="E44" s="5"/>
      <c r="F44" s="5"/>
      <c r="G44" s="5"/>
      <c r="H44" s="5">
        <f t="shared" si="2"/>
        <v>0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>
        <v>0</v>
      </c>
      <c r="W44" s="5"/>
      <c r="X44" s="5"/>
      <c r="Y44" s="5">
        <f t="shared" si="0"/>
        <v>0</v>
      </c>
      <c r="Z44" s="5">
        <f t="shared" si="1"/>
        <v>0</v>
      </c>
      <c r="AA44" s="5"/>
    </row>
    <row r="45" spans="2:27" ht="30" x14ac:dyDescent="0.25">
      <c r="B45" s="3" t="s">
        <v>68</v>
      </c>
      <c r="C45" s="4" t="s">
        <v>69</v>
      </c>
      <c r="D45" s="5"/>
      <c r="E45" s="5"/>
      <c r="F45" s="5"/>
      <c r="G45" s="5"/>
      <c r="H45" s="5">
        <f t="shared" si="2"/>
        <v>0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>
        <v>9277000</v>
      </c>
      <c r="U45" s="5"/>
      <c r="V45" s="5"/>
      <c r="W45" s="5"/>
      <c r="X45" s="5"/>
      <c r="Y45" s="5"/>
      <c r="Z45" s="5"/>
      <c r="AA45" s="5"/>
    </row>
    <row r="46" spans="2:27" ht="30" x14ac:dyDescent="0.25">
      <c r="B46" s="3" t="s">
        <v>70</v>
      </c>
      <c r="C46" s="4" t="s">
        <v>71</v>
      </c>
      <c r="D46" s="5"/>
      <c r="E46" s="5"/>
      <c r="F46" s="5"/>
      <c r="G46" s="5"/>
      <c r="H46" s="5">
        <f t="shared" si="2"/>
        <v>0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>
        <v>22584131</v>
      </c>
      <c r="U46" s="5"/>
      <c r="V46" s="5"/>
      <c r="W46" s="5"/>
      <c r="X46" s="5"/>
      <c r="Y46" s="5"/>
      <c r="Z46" s="5"/>
      <c r="AA46" s="5"/>
    </row>
    <row r="47" spans="2:27" ht="15" x14ac:dyDescent="0.25">
      <c r="B47" s="3" t="s">
        <v>72</v>
      </c>
      <c r="C47" s="4" t="s">
        <v>73</v>
      </c>
      <c r="D47" s="5">
        <v>25334000</v>
      </c>
      <c r="E47" s="5">
        <v>25334000</v>
      </c>
      <c r="F47" s="5"/>
      <c r="G47" s="5">
        <v>25334000</v>
      </c>
      <c r="H47" s="5">
        <f t="shared" si="2"/>
        <v>1050000</v>
      </c>
      <c r="I47" s="5">
        <v>24284000</v>
      </c>
      <c r="J47" s="5"/>
      <c r="K47" s="5"/>
      <c r="L47" s="5"/>
      <c r="M47" s="5"/>
      <c r="N47" s="5" t="s">
        <v>116</v>
      </c>
      <c r="O47" s="5" t="s">
        <v>91</v>
      </c>
      <c r="P47" s="5"/>
      <c r="Q47" s="5"/>
      <c r="R47" s="5"/>
      <c r="S47" s="5">
        <f>I47-1050000-100000</f>
        <v>23134000</v>
      </c>
      <c r="T47" s="5">
        <v>24184000</v>
      </c>
      <c r="U47" s="5">
        <v>20491652.240000002</v>
      </c>
      <c r="V47" s="5">
        <v>0</v>
      </c>
      <c r="W47" s="5">
        <v>1855313</v>
      </c>
      <c r="X47" s="5"/>
      <c r="Y47" s="5">
        <f t="shared" si="0"/>
        <v>22346965.240000002</v>
      </c>
      <c r="Z47" s="5">
        <f t="shared" si="1"/>
        <v>1837034.7599999979</v>
      </c>
      <c r="AA47" s="5"/>
    </row>
    <row r="48" spans="2:27" ht="15" x14ac:dyDescent="0.25">
      <c r="B48" s="3" t="s">
        <v>74</v>
      </c>
      <c r="C48" s="4" t="s">
        <v>75</v>
      </c>
      <c r="D48" s="5">
        <v>15000000</v>
      </c>
      <c r="E48" s="5">
        <v>15000000</v>
      </c>
      <c r="F48" s="5"/>
      <c r="G48" s="5">
        <v>15000000</v>
      </c>
      <c r="H48" s="5">
        <f t="shared" si="2"/>
        <v>-1796940</v>
      </c>
      <c r="I48" s="5">
        <v>16796940</v>
      </c>
      <c r="J48" s="5"/>
      <c r="K48" s="5"/>
      <c r="L48" s="5" t="s">
        <v>88</v>
      </c>
      <c r="M48" s="5"/>
      <c r="N48" s="5" t="s">
        <v>117</v>
      </c>
      <c r="O48" s="5" t="s">
        <v>92</v>
      </c>
      <c r="P48" s="5"/>
      <c r="Q48" s="5" t="s">
        <v>94</v>
      </c>
      <c r="R48" s="5" t="s">
        <v>92</v>
      </c>
      <c r="S48" s="5">
        <f>I48+500000+50000+100000+200000+100000</f>
        <v>17746940</v>
      </c>
      <c r="T48" s="5">
        <v>17196940</v>
      </c>
      <c r="U48" s="5">
        <v>16869320.43</v>
      </c>
      <c r="V48" s="5">
        <v>0</v>
      </c>
      <c r="W48" s="5">
        <v>1725666.67</v>
      </c>
      <c r="X48" s="5"/>
      <c r="Y48" s="5">
        <f t="shared" si="0"/>
        <v>18594987.100000001</v>
      </c>
      <c r="Z48" s="5">
        <f t="shared" si="1"/>
        <v>-1398047.1000000015</v>
      </c>
      <c r="AA48" s="5"/>
    </row>
    <row r="49" spans="2:27" ht="45" x14ac:dyDescent="0.25">
      <c r="B49" s="3" t="s">
        <v>76</v>
      </c>
      <c r="C49" s="4" t="s">
        <v>77</v>
      </c>
      <c r="D49" s="5">
        <v>1000000</v>
      </c>
      <c r="E49" s="5">
        <v>1000000</v>
      </c>
      <c r="F49" s="5"/>
      <c r="G49" s="5">
        <v>1000000</v>
      </c>
      <c r="H49" s="5">
        <f t="shared" si="2"/>
        <v>0</v>
      </c>
      <c r="I49" s="5">
        <v>1000000</v>
      </c>
      <c r="J49" s="5"/>
      <c r="K49" s="5"/>
      <c r="L49" s="5"/>
      <c r="M49" s="5"/>
      <c r="N49" s="5"/>
      <c r="O49" s="5"/>
      <c r="P49" s="5"/>
      <c r="Q49" s="5"/>
      <c r="R49" s="5"/>
      <c r="S49" s="5">
        <f>I49</f>
        <v>1000000</v>
      </c>
      <c r="T49" s="5">
        <v>1000000</v>
      </c>
      <c r="U49" s="5">
        <v>711419.66</v>
      </c>
      <c r="V49" s="5">
        <v>0</v>
      </c>
      <c r="W49" s="5">
        <v>70000</v>
      </c>
      <c r="X49" s="5"/>
      <c r="Y49" s="5">
        <f t="shared" si="0"/>
        <v>781419.66</v>
      </c>
      <c r="Z49" s="5">
        <f t="shared" si="1"/>
        <v>218580.33999999997</v>
      </c>
      <c r="AA49" s="5"/>
    </row>
    <row r="50" spans="2:27" x14ac:dyDescent="0.3">
      <c r="H50" s="5">
        <f t="shared" si="2"/>
        <v>0</v>
      </c>
      <c r="Z50" s="6">
        <f>SUM(Z3:Z49)</f>
        <v>13843716.963299999</v>
      </c>
    </row>
    <row r="51" spans="2:27" x14ac:dyDescent="0.3">
      <c r="G51" s="23">
        <f>G3+G4+G5+G6+G7+G8+G11+G18+G25+G30+G31+G32+G33+G34+G35+G40+G41+G42+G47+G48+G49</f>
        <v>185406700</v>
      </c>
      <c r="H51" s="5">
        <f t="shared" si="2"/>
        <v>185406700</v>
      </c>
      <c r="X51" s="24"/>
    </row>
    <row r="52" spans="2:27" x14ac:dyDescent="0.3">
      <c r="G52" s="23">
        <f>G3+G4+G5+G6+G7+G8+G11+G18+G25+G30+G31</f>
        <v>53079800</v>
      </c>
      <c r="H52" s="5">
        <f t="shared" si="2"/>
        <v>53079800</v>
      </c>
    </row>
    <row r="53" spans="2:27" x14ac:dyDescent="0.3">
      <c r="G53" s="23">
        <f>G32+G33+G34+G35+G40+G41+G42+G47+G48+G49</f>
        <v>132326900</v>
      </c>
      <c r="H53" s="5">
        <f t="shared" si="2"/>
        <v>132326900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50"/>
  <sheetViews>
    <sheetView topLeftCell="A7" workbookViewId="0">
      <selection activeCell="D12" sqref="D12"/>
    </sheetView>
  </sheetViews>
  <sheetFormatPr defaultRowHeight="15.75" x14ac:dyDescent="0.3"/>
  <cols>
    <col min="1" max="1" width="9.140625" style="1"/>
    <col min="2" max="2" width="11.5703125" style="17" bestFit="1" customWidth="1"/>
    <col min="3" max="3" width="37.140625" style="18" bestFit="1" customWidth="1"/>
    <col min="4" max="6" width="16.42578125" style="19" customWidth="1"/>
    <col min="7" max="8" width="21" style="18" customWidth="1"/>
    <col min="9" max="20" width="15" style="19" customWidth="1"/>
    <col min="21" max="22" width="14.7109375" style="19" customWidth="1"/>
    <col min="23" max="23" width="15" style="1" customWidth="1"/>
    <col min="24" max="24" width="18.85546875" style="1" bestFit="1" customWidth="1"/>
    <col min="25" max="25" width="11.42578125" style="1" bestFit="1" customWidth="1"/>
    <col min="26" max="26" width="13.140625" style="1" bestFit="1" customWidth="1"/>
    <col min="27" max="27" width="12.140625" style="1" customWidth="1"/>
    <col min="28" max="16384" width="9.140625" style="1"/>
  </cols>
  <sheetData>
    <row r="1" spans="2:27" ht="30.75" x14ac:dyDescent="0.3">
      <c r="Q1" s="27" t="s">
        <v>120</v>
      </c>
    </row>
    <row r="2" spans="2:27" ht="34.5" customHeight="1" x14ac:dyDescent="0.25">
      <c r="B2" s="2" t="s">
        <v>0</v>
      </c>
      <c r="C2" s="2" t="s">
        <v>1</v>
      </c>
      <c r="D2" s="2" t="s">
        <v>2</v>
      </c>
      <c r="E2" s="2"/>
      <c r="F2" s="2"/>
      <c r="G2" s="2"/>
      <c r="H2" s="2"/>
      <c r="I2" s="2"/>
      <c r="J2" s="25"/>
      <c r="K2" s="25"/>
      <c r="L2" s="25" t="s">
        <v>123</v>
      </c>
      <c r="M2" s="25">
        <v>42284</v>
      </c>
      <c r="N2" s="25">
        <v>42293</v>
      </c>
      <c r="O2" s="25">
        <v>42319</v>
      </c>
      <c r="P2" s="25">
        <v>42332</v>
      </c>
      <c r="Q2" s="25">
        <v>42339</v>
      </c>
      <c r="R2" s="25">
        <v>42347</v>
      </c>
      <c r="S2" s="25" t="s">
        <v>119</v>
      </c>
      <c r="T2" s="25" t="s">
        <v>118</v>
      </c>
      <c r="U2" s="2" t="s">
        <v>83</v>
      </c>
      <c r="V2" s="2" t="s">
        <v>84</v>
      </c>
      <c r="W2" s="2" t="s">
        <v>81</v>
      </c>
      <c r="X2" s="2" t="s">
        <v>85</v>
      </c>
      <c r="Y2" s="2" t="s">
        <v>82</v>
      </c>
      <c r="Z2" s="2" t="s">
        <v>8</v>
      </c>
      <c r="AA2" s="2" t="s">
        <v>9</v>
      </c>
    </row>
    <row r="3" spans="2:27" ht="30" x14ac:dyDescent="0.25">
      <c r="B3" s="3" t="s">
        <v>10</v>
      </c>
      <c r="C3" s="4" t="s">
        <v>11</v>
      </c>
      <c r="D3" s="5">
        <v>2000000</v>
      </c>
      <c r="E3" s="5" t="s">
        <v>121</v>
      </c>
      <c r="F3" s="5">
        <f>D3-230000</f>
        <v>1770000</v>
      </c>
      <c r="G3" s="5" t="s">
        <v>90</v>
      </c>
      <c r="H3" s="5">
        <f>F3-40000</f>
        <v>1730000</v>
      </c>
      <c r="I3" s="5" t="s">
        <v>122</v>
      </c>
      <c r="J3" s="5">
        <f>H3-68300</f>
        <v>1661700</v>
      </c>
      <c r="K3" s="5" t="s">
        <v>95</v>
      </c>
      <c r="L3" s="16">
        <f>J3-5700</f>
        <v>1656000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2:27" ht="15" x14ac:dyDescent="0.25">
      <c r="B4" s="3" t="s">
        <v>12</v>
      </c>
      <c r="C4" s="4" t="s">
        <v>13</v>
      </c>
      <c r="D4" s="5">
        <v>8340000</v>
      </c>
      <c r="E4" s="5" t="s">
        <v>124</v>
      </c>
      <c r="F4" s="5">
        <f>D4+1750000</f>
        <v>10090000</v>
      </c>
      <c r="G4" s="5" t="s">
        <v>102</v>
      </c>
      <c r="H4" s="5">
        <f>F4+300000</f>
        <v>10390000</v>
      </c>
      <c r="I4" s="5" t="s">
        <v>125</v>
      </c>
      <c r="J4" s="5">
        <f>H4-98</f>
        <v>10389902</v>
      </c>
      <c r="K4" s="5" t="s">
        <v>126</v>
      </c>
      <c r="L4" s="5">
        <f>J4-6240</f>
        <v>10383662</v>
      </c>
      <c r="M4" s="5" t="s">
        <v>127</v>
      </c>
      <c r="N4" s="16">
        <f>L4+647850</f>
        <v>11031512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2:27" ht="15" x14ac:dyDescent="0.25">
      <c r="B5" s="3" t="s">
        <v>14</v>
      </c>
      <c r="C5" s="4" t="s">
        <v>15</v>
      </c>
      <c r="D5" s="5">
        <v>1000000</v>
      </c>
      <c r="E5" s="5" t="s">
        <v>128</v>
      </c>
      <c r="F5" s="5">
        <f>D5-350000</f>
        <v>650000</v>
      </c>
      <c r="G5" s="5" t="s">
        <v>129</v>
      </c>
      <c r="H5" s="16">
        <f>F5-26000</f>
        <v>624000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2:27" ht="15" x14ac:dyDescent="0.25">
      <c r="B6" s="3" t="s">
        <v>16</v>
      </c>
      <c r="C6" s="4" t="s">
        <v>17</v>
      </c>
      <c r="D6" s="5">
        <v>1502000</v>
      </c>
      <c r="E6" s="5" t="s">
        <v>91</v>
      </c>
      <c r="F6" s="5">
        <f>D6-100000</f>
        <v>1402000</v>
      </c>
      <c r="G6" s="5" t="s">
        <v>130</v>
      </c>
      <c r="H6" s="5">
        <f>F6-9959</f>
        <v>1392041</v>
      </c>
      <c r="I6" s="5" t="s">
        <v>131</v>
      </c>
      <c r="J6" s="16">
        <f>H6-30000</f>
        <v>1362041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2:27" ht="30" x14ac:dyDescent="0.25">
      <c r="B7" s="3" t="s">
        <v>18</v>
      </c>
      <c r="C7" s="4" t="s">
        <v>19</v>
      </c>
      <c r="D7" s="5">
        <v>270000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2:27" ht="30" x14ac:dyDescent="0.25">
      <c r="B8" s="3" t="s">
        <v>20</v>
      </c>
      <c r="C8" s="4" t="s">
        <v>21</v>
      </c>
      <c r="D8" s="5">
        <f>D9+D10</f>
        <v>10000000</v>
      </c>
      <c r="E8" s="5" t="s">
        <v>103</v>
      </c>
      <c r="F8" s="5">
        <f>D8-115000</f>
        <v>9885000</v>
      </c>
      <c r="G8" s="5" t="s">
        <v>132</v>
      </c>
      <c r="H8" s="16">
        <f>F8-1784970</f>
        <v>8100030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2:27" ht="30" x14ac:dyDescent="0.25">
      <c r="B9" s="7" t="s">
        <v>22</v>
      </c>
      <c r="C9" s="8" t="s">
        <v>21</v>
      </c>
      <c r="D9" s="9">
        <v>7975000</v>
      </c>
      <c r="E9" s="5"/>
      <c r="F9" s="5"/>
      <c r="G9" s="8"/>
      <c r="H9" s="5"/>
      <c r="I9" s="10"/>
      <c r="J9" s="10"/>
      <c r="K9" s="10"/>
      <c r="L9" s="10"/>
      <c r="M9" s="10"/>
      <c r="N9" s="5"/>
      <c r="O9" s="10"/>
      <c r="P9" s="10"/>
      <c r="Q9" s="10"/>
      <c r="R9" s="10"/>
      <c r="S9" s="10"/>
      <c r="T9" s="10"/>
      <c r="U9" s="10"/>
      <c r="V9" s="10"/>
      <c r="W9" s="5"/>
      <c r="X9" s="5"/>
      <c r="Y9" s="5"/>
      <c r="Z9" s="5"/>
      <c r="AA9" s="5"/>
    </row>
    <row r="10" spans="2:27" ht="75" x14ac:dyDescent="0.25">
      <c r="B10" s="7" t="s">
        <v>23</v>
      </c>
      <c r="C10" s="8" t="s">
        <v>24</v>
      </c>
      <c r="D10" s="9">
        <v>2025000</v>
      </c>
      <c r="E10" s="5"/>
      <c r="F10" s="5"/>
      <c r="G10" s="8"/>
      <c r="H10" s="5"/>
      <c r="I10" s="13"/>
      <c r="J10" s="13"/>
      <c r="K10" s="13"/>
      <c r="L10" s="13"/>
      <c r="M10" s="13"/>
      <c r="N10" s="5"/>
      <c r="O10" s="13"/>
      <c r="P10" s="13"/>
      <c r="Q10" s="13"/>
      <c r="R10" s="13"/>
      <c r="S10" s="13"/>
      <c r="T10" s="13"/>
      <c r="U10" s="10"/>
      <c r="V10" s="10"/>
      <c r="W10" s="5"/>
      <c r="X10" s="5"/>
      <c r="Y10" s="5"/>
      <c r="Z10" s="5"/>
      <c r="AA10" s="5"/>
    </row>
    <row r="11" spans="2:27" ht="15" x14ac:dyDescent="0.25">
      <c r="B11" s="3" t="s">
        <v>25</v>
      </c>
      <c r="C11" s="4" t="s">
        <v>26</v>
      </c>
      <c r="D11" s="5">
        <f>D12+D13+D14</f>
        <v>11850000</v>
      </c>
      <c r="E11" s="5"/>
      <c r="F11" s="5"/>
      <c r="G11" s="5"/>
      <c r="H11" s="5"/>
      <c r="I11" s="5"/>
      <c r="J11" s="16">
        <f>J12+J13+J14</f>
        <v>11607900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2:27" ht="15" x14ac:dyDescent="0.25">
      <c r="B12" s="3" t="s">
        <v>28</v>
      </c>
      <c r="C12" s="4" t="s">
        <v>26</v>
      </c>
      <c r="D12" s="5">
        <v>10000000</v>
      </c>
      <c r="E12" s="5" t="s">
        <v>104</v>
      </c>
      <c r="F12" s="5"/>
      <c r="G12" s="5"/>
      <c r="H12" s="5"/>
      <c r="I12" s="5"/>
      <c r="J12" s="16">
        <v>10000100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2:27" ht="75" x14ac:dyDescent="0.25">
      <c r="B13" s="3" t="s">
        <v>29</v>
      </c>
      <c r="C13" s="4" t="s">
        <v>30</v>
      </c>
      <c r="D13" s="5">
        <v>1000000</v>
      </c>
      <c r="E13" s="5" t="s">
        <v>105</v>
      </c>
      <c r="F13" s="5" t="s">
        <v>133</v>
      </c>
      <c r="G13" s="5" t="s">
        <v>134</v>
      </c>
      <c r="H13" s="5"/>
      <c r="I13" s="5"/>
      <c r="J13" s="16">
        <v>879000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2:27" ht="60" x14ac:dyDescent="0.25">
      <c r="B14" s="3" t="s">
        <v>31</v>
      </c>
      <c r="C14" s="4" t="s">
        <v>32</v>
      </c>
      <c r="D14" s="5">
        <v>850000</v>
      </c>
      <c r="E14" s="5"/>
      <c r="F14" s="5"/>
      <c r="G14" s="5"/>
      <c r="H14" s="5" t="s">
        <v>135</v>
      </c>
      <c r="I14" s="5" t="s">
        <v>91</v>
      </c>
      <c r="J14" s="16">
        <v>728800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2:27" ht="15" x14ac:dyDescent="0.25">
      <c r="B15" s="3" t="s">
        <v>33</v>
      </c>
      <c r="C15" s="15" t="s">
        <v>34</v>
      </c>
      <c r="D15" s="5">
        <f>D16+D17+D18</f>
        <v>6400000</v>
      </c>
      <c r="E15" s="5"/>
      <c r="F15" s="5"/>
      <c r="G15" s="5"/>
      <c r="H15" s="16">
        <f>F19+H20+F21</f>
        <v>5892731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2:27" ht="15" hidden="1" x14ac:dyDescent="0.25">
      <c r="B16" s="7" t="s">
        <v>35</v>
      </c>
      <c r="C16" s="14" t="s">
        <v>34</v>
      </c>
      <c r="D16" s="5">
        <v>4000000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2:27" ht="63.75" hidden="1" x14ac:dyDescent="0.25">
      <c r="B17" s="7" t="s">
        <v>36</v>
      </c>
      <c r="C17" s="14" t="s">
        <v>37</v>
      </c>
      <c r="D17" s="5">
        <v>700000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2:27" ht="114.75" hidden="1" x14ac:dyDescent="0.25">
      <c r="B18" s="7" t="s">
        <v>38</v>
      </c>
      <c r="C18" s="14" t="s">
        <v>39</v>
      </c>
      <c r="D18" s="5">
        <v>1700000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2:27" ht="15" x14ac:dyDescent="0.25">
      <c r="B19" s="3" t="s">
        <v>35</v>
      </c>
      <c r="C19" s="15" t="s">
        <v>34</v>
      </c>
      <c r="D19" s="5">
        <v>4000000</v>
      </c>
      <c r="E19" s="5" t="s">
        <v>136</v>
      </c>
      <c r="F19" s="16">
        <f>D19+180100</f>
        <v>4180100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2:27" ht="63.75" x14ac:dyDescent="0.25">
      <c r="B20" s="3" t="s">
        <v>36</v>
      </c>
      <c r="C20" s="15" t="s">
        <v>37</v>
      </c>
      <c r="D20" s="5">
        <v>700000</v>
      </c>
      <c r="E20" s="5" t="s">
        <v>137</v>
      </c>
      <c r="F20" s="5">
        <f>D20-250000</f>
        <v>450000</v>
      </c>
      <c r="G20" s="5" t="s">
        <v>138</v>
      </c>
      <c r="H20" s="16">
        <f>F20-7369</f>
        <v>442631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2:27" ht="114.75" x14ac:dyDescent="0.25">
      <c r="B21" s="3" t="s">
        <v>38</v>
      </c>
      <c r="C21" s="15" t="s">
        <v>39</v>
      </c>
      <c r="D21" s="5">
        <v>1700000</v>
      </c>
      <c r="E21" s="5" t="s">
        <v>139</v>
      </c>
      <c r="F21" s="16">
        <f>D21-430000</f>
        <v>1270000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2:27" ht="25.5" x14ac:dyDescent="0.25">
      <c r="B22" s="3" t="s">
        <v>40</v>
      </c>
      <c r="C22" s="15" t="s">
        <v>41</v>
      </c>
      <c r="D22" s="5">
        <f>D23+D24</f>
        <v>6000000</v>
      </c>
      <c r="E22" s="5"/>
      <c r="F22" s="5"/>
      <c r="G22" s="5"/>
      <c r="H22" s="5"/>
      <c r="I22" s="5"/>
      <c r="J22" s="5"/>
      <c r="K22" s="5"/>
      <c r="L22" s="5"/>
      <c r="M22" s="5"/>
      <c r="N22" s="16">
        <f>F25+N26</f>
        <v>6133395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2:27" ht="25.5" hidden="1" x14ac:dyDescent="0.25">
      <c r="B23" s="7" t="s">
        <v>42</v>
      </c>
      <c r="C23" s="14" t="s">
        <v>41</v>
      </c>
      <c r="D23" s="5">
        <v>5459000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2:27" ht="76.5" hidden="1" x14ac:dyDescent="0.25">
      <c r="B24" s="7" t="s">
        <v>43</v>
      </c>
      <c r="C24" s="14" t="s">
        <v>44</v>
      </c>
      <c r="D24" s="5">
        <v>541000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2:27" ht="25.5" x14ac:dyDescent="0.25">
      <c r="B25" s="3" t="s">
        <v>42</v>
      </c>
      <c r="C25" s="15" t="s">
        <v>41</v>
      </c>
      <c r="D25" s="5">
        <v>5459000</v>
      </c>
      <c r="E25" s="5" t="s">
        <v>107</v>
      </c>
      <c r="F25" s="16">
        <f>D25+340900</f>
        <v>5799900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2:27" ht="76.5" x14ac:dyDescent="0.25">
      <c r="B26" s="3" t="s">
        <v>43</v>
      </c>
      <c r="C26" s="15" t="s">
        <v>44</v>
      </c>
      <c r="D26" s="5">
        <v>541000</v>
      </c>
      <c r="E26" s="5" t="s">
        <v>140</v>
      </c>
      <c r="F26" s="5">
        <f>D26-80000</f>
        <v>461000</v>
      </c>
      <c r="G26" s="5" t="s">
        <v>108</v>
      </c>
      <c r="H26" s="5">
        <f>F26-60600</f>
        <v>400400</v>
      </c>
      <c r="I26" s="5" t="s">
        <v>141</v>
      </c>
      <c r="J26" s="5">
        <f>H26-83277</f>
        <v>317123</v>
      </c>
      <c r="K26" s="5" t="s">
        <v>89</v>
      </c>
      <c r="L26" s="5">
        <f>J26+40000</f>
        <v>357123</v>
      </c>
      <c r="M26" s="5" t="s">
        <v>96</v>
      </c>
      <c r="N26" s="16">
        <f>L26-23628</f>
        <v>333495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2:27" ht="15" x14ac:dyDescent="0.25">
      <c r="B27" s="3" t="s">
        <v>45</v>
      </c>
      <c r="C27" s="4" t="s">
        <v>46</v>
      </c>
      <c r="D27" s="5">
        <v>4800000</v>
      </c>
      <c r="E27" s="5" t="s">
        <v>142</v>
      </c>
      <c r="F27" s="5" t="s">
        <v>109</v>
      </c>
      <c r="G27" s="5" t="s">
        <v>97</v>
      </c>
      <c r="H27" s="16">
        <f>D27-215-446385-5677</f>
        <v>4347723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2:27" ht="30.75" thickBot="1" x14ac:dyDescent="0.3">
      <c r="B28" s="3" t="s">
        <v>47</v>
      </c>
      <c r="C28" s="4" t="s">
        <v>48</v>
      </c>
      <c r="D28" s="5">
        <v>200000</v>
      </c>
      <c r="E28" s="5" t="s">
        <v>98</v>
      </c>
      <c r="F28" s="5" t="s">
        <v>143</v>
      </c>
      <c r="G28" s="16">
        <f>D28-23910-25800</f>
        <v>150290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2:27" ht="16.5" thickTop="1" thickBot="1" x14ac:dyDescent="0.3">
      <c r="B29" s="3" t="s">
        <v>51</v>
      </c>
      <c r="C29" s="4" t="s">
        <v>52</v>
      </c>
      <c r="D29" s="5">
        <v>15000000</v>
      </c>
      <c r="E29" s="5" t="s">
        <v>110</v>
      </c>
      <c r="F29" s="16">
        <f>D29+645400</f>
        <v>15645400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26"/>
      <c r="U29" s="5"/>
      <c r="V29" s="5"/>
      <c r="W29" s="5"/>
      <c r="X29" s="5"/>
      <c r="Y29" s="5"/>
      <c r="Z29" s="5"/>
      <c r="AA29" s="5"/>
    </row>
    <row r="30" spans="2:27" thickTop="1" x14ac:dyDescent="0.25">
      <c r="B30" s="3" t="s">
        <v>53</v>
      </c>
      <c r="C30" s="4" t="s">
        <v>54</v>
      </c>
      <c r="D30" s="5">
        <v>6500000</v>
      </c>
      <c r="E30" s="5" t="s">
        <v>111</v>
      </c>
      <c r="F30" s="5" t="s">
        <v>144</v>
      </c>
      <c r="G30" s="16">
        <f>D30+1156100-1780</f>
        <v>7654320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2:27" ht="30" x14ac:dyDescent="0.25">
      <c r="B31" s="3" t="s">
        <v>55</v>
      </c>
      <c r="C31" s="4" t="s">
        <v>56</v>
      </c>
      <c r="D31" s="5">
        <v>2000000</v>
      </c>
      <c r="E31" s="5" t="s">
        <v>112</v>
      </c>
      <c r="F31" s="16">
        <f>D31-726000</f>
        <v>1274000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2:27" ht="25.5" x14ac:dyDescent="0.25">
      <c r="B32" s="3" t="s">
        <v>57</v>
      </c>
      <c r="C32" s="15" t="s">
        <v>58</v>
      </c>
      <c r="D32" s="5">
        <f>D33+D34</f>
        <v>29465000</v>
      </c>
      <c r="E32" s="16">
        <f>K35+G36</f>
        <v>30883045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2:27" ht="25.5" hidden="1" x14ac:dyDescent="0.25">
      <c r="B33" s="7" t="s">
        <v>59</v>
      </c>
      <c r="C33" s="14" t="s">
        <v>58</v>
      </c>
      <c r="D33" s="5">
        <v>13597000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>
        <v>0</v>
      </c>
      <c r="W33" s="5"/>
      <c r="X33" s="5"/>
      <c r="Y33" s="5">
        <f t="shared" ref="Y33:Y34" si="0">U33+V33+W33+X33</f>
        <v>0</v>
      </c>
      <c r="Z33" s="5">
        <f t="shared" ref="Z33:Z34" si="1">T33-Y33</f>
        <v>0</v>
      </c>
      <c r="AA33" s="5"/>
    </row>
    <row r="34" spans="2:27" ht="63.75" hidden="1" x14ac:dyDescent="0.25">
      <c r="B34" s="7" t="s">
        <v>60</v>
      </c>
      <c r="C34" s="14" t="s">
        <v>61</v>
      </c>
      <c r="D34" s="5">
        <v>15868000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>
        <v>0</v>
      </c>
      <c r="W34" s="5"/>
      <c r="X34" s="5"/>
      <c r="Y34" s="5">
        <f t="shared" si="0"/>
        <v>0</v>
      </c>
      <c r="Z34" s="5">
        <f t="shared" si="1"/>
        <v>0</v>
      </c>
      <c r="AA34" s="5"/>
    </row>
    <row r="35" spans="2:27" ht="25.5" x14ac:dyDescent="0.25">
      <c r="B35" s="3" t="s">
        <v>59</v>
      </c>
      <c r="C35" s="15" t="s">
        <v>58</v>
      </c>
      <c r="D35" s="5">
        <v>13597000</v>
      </c>
      <c r="E35" s="5" t="s">
        <v>145</v>
      </c>
      <c r="F35" s="5" t="s">
        <v>99</v>
      </c>
      <c r="G35" s="5" t="s">
        <v>113</v>
      </c>
      <c r="H35" s="5" t="s">
        <v>147</v>
      </c>
      <c r="I35" s="5" t="s">
        <v>149</v>
      </c>
      <c r="J35" s="5" t="s">
        <v>93</v>
      </c>
      <c r="K35" s="16">
        <f>D35-192649-419881+9288-79474+9481401+2350000</f>
        <v>24745685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2:27" ht="63.75" x14ac:dyDescent="0.25">
      <c r="B36" s="3" t="s">
        <v>60</v>
      </c>
      <c r="C36" s="15" t="s">
        <v>61</v>
      </c>
      <c r="D36" s="5">
        <v>15868000</v>
      </c>
      <c r="E36" s="5" t="s">
        <v>146</v>
      </c>
      <c r="F36" s="5" t="s">
        <v>148</v>
      </c>
      <c r="G36" s="16">
        <f>D36-249239-9481401</f>
        <v>6137360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2:27" ht="30" x14ac:dyDescent="0.25">
      <c r="B37" s="3" t="s">
        <v>62</v>
      </c>
      <c r="C37" s="4" t="s">
        <v>63</v>
      </c>
      <c r="D37" s="5">
        <v>2500000</v>
      </c>
      <c r="E37" s="5" t="s">
        <v>114</v>
      </c>
      <c r="F37" s="16">
        <f>D37-984000</f>
        <v>1516000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2:27" ht="60" x14ac:dyDescent="0.25">
      <c r="B38" s="3" t="s">
        <v>64</v>
      </c>
      <c r="C38" s="4" t="s">
        <v>65</v>
      </c>
      <c r="D38" s="5">
        <v>6000000</v>
      </c>
      <c r="E38" s="5" t="s">
        <v>115</v>
      </c>
      <c r="F38" s="5" t="s">
        <v>100</v>
      </c>
      <c r="G38" s="5" t="s">
        <v>150</v>
      </c>
      <c r="H38" s="16">
        <f>D38+57-319-38537</f>
        <v>5961201</v>
      </c>
      <c r="I38" s="5"/>
      <c r="J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2:27" ht="45" x14ac:dyDescent="0.25">
      <c r="B39" s="3" t="s">
        <v>66</v>
      </c>
      <c r="C39" s="4" t="s">
        <v>67</v>
      </c>
      <c r="D39" s="5">
        <f>D40+D41</f>
        <v>30000000</v>
      </c>
      <c r="E39" s="16">
        <f>D42+L43</f>
        <v>31861131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2:27" ht="30" hidden="1" x14ac:dyDescent="0.25">
      <c r="B40" s="7" t="s">
        <v>68</v>
      </c>
      <c r="C40" s="8" t="s">
        <v>69</v>
      </c>
      <c r="D40" s="5">
        <v>9277000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2:27" ht="30" hidden="1" x14ac:dyDescent="0.25">
      <c r="B41" s="7" t="s">
        <v>70</v>
      </c>
      <c r="C41" s="8" t="s">
        <v>71</v>
      </c>
      <c r="D41" s="5">
        <v>20723000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2:27" ht="30" x14ac:dyDescent="0.25">
      <c r="B42" s="3" t="s">
        <v>68</v>
      </c>
      <c r="C42" s="4" t="s">
        <v>69</v>
      </c>
      <c r="D42" s="16">
        <v>9277000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2:27" ht="30" x14ac:dyDescent="0.25">
      <c r="B43" s="3" t="s">
        <v>70</v>
      </c>
      <c r="C43" s="4" t="s">
        <v>71</v>
      </c>
      <c r="D43" s="5">
        <v>20723000</v>
      </c>
      <c r="E43" s="5" t="s">
        <v>151</v>
      </c>
      <c r="F43" s="5" t="s">
        <v>101</v>
      </c>
      <c r="G43" s="5" t="s">
        <v>152</v>
      </c>
      <c r="H43" s="5" t="s">
        <v>153</v>
      </c>
      <c r="I43" s="5" t="s">
        <v>154</v>
      </c>
      <c r="J43" s="5" t="s">
        <v>155</v>
      </c>
      <c r="K43" s="5" t="s">
        <v>156</v>
      </c>
      <c r="L43" s="16">
        <f>D43-200489-47620-3430+108000+220000+210670+1574000</f>
        <v>22584131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2:27" ht="15" x14ac:dyDescent="0.25">
      <c r="B44" s="3" t="s">
        <v>72</v>
      </c>
      <c r="C44" s="4" t="s">
        <v>73</v>
      </c>
      <c r="D44" s="5">
        <v>25334000</v>
      </c>
      <c r="E44" s="5" t="s">
        <v>116</v>
      </c>
      <c r="F44" s="5" t="s">
        <v>91</v>
      </c>
      <c r="G44" s="16">
        <f>D44-1050000-100000</f>
        <v>24184000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2:27" ht="15" x14ac:dyDescent="0.25">
      <c r="B45" s="3" t="s">
        <v>74</v>
      </c>
      <c r="C45" s="4" t="s">
        <v>75</v>
      </c>
      <c r="D45" s="5">
        <v>15000000</v>
      </c>
      <c r="E45" s="5" t="s">
        <v>117</v>
      </c>
      <c r="F45" s="5" t="s">
        <v>92</v>
      </c>
      <c r="G45" s="5" t="s">
        <v>157</v>
      </c>
      <c r="H45" s="5" t="s">
        <v>88</v>
      </c>
      <c r="I45" s="5"/>
      <c r="J45" s="5" t="s">
        <v>158</v>
      </c>
      <c r="K45" s="5" t="s">
        <v>94</v>
      </c>
      <c r="L45" s="5" t="s">
        <v>92</v>
      </c>
      <c r="M45" s="16">
        <f>D45+50000+100000+246940+500000+100000+1000000+200000</f>
        <v>17196940</v>
      </c>
      <c r="N45" s="28" t="s">
        <v>159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2:27" ht="45" x14ac:dyDescent="0.25">
      <c r="B46" s="3" t="s">
        <v>76</v>
      </c>
      <c r="C46" s="4" t="s">
        <v>77</v>
      </c>
      <c r="D46" s="16">
        <v>1000000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2:27" x14ac:dyDescent="0.3">
      <c r="H47" s="5"/>
      <c r="Z47" s="6"/>
    </row>
    <row r="48" spans="2:27" x14ac:dyDescent="0.3">
      <c r="G48" s="23"/>
      <c r="H48" s="5"/>
      <c r="X48" s="24"/>
    </row>
    <row r="49" spans="7:8" x14ac:dyDescent="0.3">
      <c r="G49" s="23"/>
      <c r="H49" s="5"/>
    </row>
    <row r="50" spans="7:8" x14ac:dyDescent="0.3">
      <c r="G50" s="23"/>
      <c r="H50" s="5"/>
    </row>
  </sheetData>
  <pageMargins left="0.7" right="0.7" top="0.75" bottom="0.75" header="0.3" footer="0.3"/>
  <pageSetup paperSize="9" orientation="landscape" horizontalDpi="4294967294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46"/>
  <sheetViews>
    <sheetView tabSelected="1" topLeftCell="K13" workbookViewId="0">
      <selection activeCell="D12" sqref="D12"/>
    </sheetView>
  </sheetViews>
  <sheetFormatPr defaultRowHeight="15.75" x14ac:dyDescent="0.3"/>
  <cols>
    <col min="1" max="1" width="9.140625" style="1"/>
    <col min="2" max="2" width="11.5703125" style="17" bestFit="1" customWidth="1"/>
    <col min="3" max="3" width="37.140625" style="18" bestFit="1" customWidth="1"/>
    <col min="4" max="4" width="16.42578125" style="19" customWidth="1"/>
    <col min="5" max="5" width="10.42578125" style="1" customWidth="1"/>
    <col min="6" max="6" width="12.7109375" style="1" customWidth="1"/>
    <col min="7" max="7" width="11.140625" style="1" customWidth="1"/>
    <col min="8" max="10" width="9.85546875" style="1" customWidth="1"/>
    <col min="11" max="11" width="10.42578125" style="1" customWidth="1"/>
    <col min="12" max="12" width="11.140625" style="1" customWidth="1"/>
    <col min="13" max="15" width="9.85546875" style="1" customWidth="1"/>
    <col min="16" max="16" width="11.28515625" style="1" customWidth="1"/>
    <col min="17" max="17" width="9.85546875" style="1" customWidth="1"/>
    <col min="18" max="18" width="11.28515625" style="1" customWidth="1"/>
    <col min="19" max="19" width="10.42578125" style="1" bestFit="1" customWidth="1"/>
    <col min="20" max="20" width="11.28515625" style="1" bestFit="1" customWidth="1"/>
    <col min="21" max="21" width="10.42578125" style="1" bestFit="1" customWidth="1"/>
    <col min="22" max="22" width="9.85546875" style="1" bestFit="1" customWidth="1"/>
    <col min="23" max="25" width="11.28515625" style="1" bestFit="1" customWidth="1"/>
    <col min="26" max="26" width="11.5703125" style="1" customWidth="1"/>
    <col min="27" max="27" width="18.28515625" style="1" customWidth="1"/>
    <col min="28" max="16384" width="9.140625" style="1"/>
  </cols>
  <sheetData>
    <row r="1" spans="2:27" x14ac:dyDescent="0.3">
      <c r="E1" s="1" t="s">
        <v>160</v>
      </c>
      <c r="F1" s="1" t="s">
        <v>161</v>
      </c>
      <c r="G1" s="1" t="s">
        <v>162</v>
      </c>
      <c r="H1" s="1" t="s">
        <v>163</v>
      </c>
      <c r="I1" s="1" t="s">
        <v>164</v>
      </c>
      <c r="J1" s="1" t="s">
        <v>165</v>
      </c>
      <c r="K1" s="1" t="s">
        <v>166</v>
      </c>
      <c r="L1" s="1" t="s">
        <v>167</v>
      </c>
      <c r="M1" s="1" t="s">
        <v>168</v>
      </c>
      <c r="N1" s="1" t="s">
        <v>169</v>
      </c>
      <c r="O1" s="1" t="s">
        <v>170</v>
      </c>
      <c r="P1" s="1" t="s">
        <v>171</v>
      </c>
      <c r="Q1" s="1" t="s">
        <v>172</v>
      </c>
      <c r="R1" s="1" t="s">
        <v>173</v>
      </c>
      <c r="S1" s="1" t="s">
        <v>174</v>
      </c>
      <c r="T1" s="1" t="s">
        <v>175</v>
      </c>
      <c r="U1" s="1" t="s">
        <v>176</v>
      </c>
      <c r="V1" s="1" t="s">
        <v>177</v>
      </c>
      <c r="W1" s="1" t="s">
        <v>178</v>
      </c>
      <c r="X1" s="1" t="s">
        <v>179</v>
      </c>
      <c r="Y1" s="1" t="s">
        <v>180</v>
      </c>
      <c r="Z1" s="1" t="s">
        <v>181</v>
      </c>
    </row>
    <row r="2" spans="2:27" ht="34.5" customHeight="1" x14ac:dyDescent="0.25">
      <c r="B2" s="2" t="s">
        <v>0</v>
      </c>
      <c r="C2" s="2" t="s">
        <v>1</v>
      </c>
      <c r="D2" s="2" t="s">
        <v>2</v>
      </c>
      <c r="E2" s="30">
        <v>42089</v>
      </c>
      <c r="F2" s="30">
        <v>42108</v>
      </c>
      <c r="G2" s="30">
        <v>42163</v>
      </c>
      <c r="H2" s="30">
        <v>42165</v>
      </c>
      <c r="I2" s="30">
        <v>42173</v>
      </c>
      <c r="J2" s="30">
        <v>42185</v>
      </c>
      <c r="K2" s="30">
        <v>42230</v>
      </c>
      <c r="L2" s="30">
        <v>42248</v>
      </c>
      <c r="M2" s="30">
        <v>42250</v>
      </c>
      <c r="N2" s="30">
        <v>42270</v>
      </c>
      <c r="O2" s="30">
        <v>42277</v>
      </c>
      <c r="P2" s="30">
        <v>42277</v>
      </c>
      <c r="Q2" s="30">
        <v>42284</v>
      </c>
      <c r="R2" s="30">
        <v>42293</v>
      </c>
      <c r="S2" s="30">
        <v>42305</v>
      </c>
      <c r="T2" s="30">
        <v>42319</v>
      </c>
      <c r="U2" s="30">
        <v>42332</v>
      </c>
      <c r="V2" s="30">
        <v>42339</v>
      </c>
      <c r="W2" s="30">
        <v>42339</v>
      </c>
      <c r="X2" s="30">
        <v>42339</v>
      </c>
      <c r="Y2" s="30">
        <v>42347</v>
      </c>
      <c r="Z2" s="31">
        <v>42348</v>
      </c>
      <c r="AA2" s="33" t="s">
        <v>182</v>
      </c>
    </row>
    <row r="3" spans="2:27" ht="30" x14ac:dyDescent="0.25">
      <c r="B3" s="3" t="s">
        <v>10</v>
      </c>
      <c r="C3" s="4" t="s">
        <v>11</v>
      </c>
      <c r="D3" s="5">
        <v>2000000</v>
      </c>
      <c r="E3" s="5"/>
      <c r="F3" s="5">
        <v>-230000</v>
      </c>
      <c r="G3" s="5"/>
      <c r="H3" s="5"/>
      <c r="I3" s="5"/>
      <c r="J3" s="5"/>
      <c r="K3" s="5"/>
      <c r="L3" s="5"/>
      <c r="M3" s="5"/>
      <c r="N3" s="5"/>
      <c r="O3" s="5"/>
      <c r="P3" s="5"/>
      <c r="Q3" s="5">
        <v>-40000</v>
      </c>
      <c r="R3" s="5"/>
      <c r="S3" s="5"/>
      <c r="T3" s="5"/>
      <c r="U3" s="5"/>
      <c r="V3" s="5"/>
      <c r="W3" s="5">
        <v>-68300</v>
      </c>
      <c r="X3" s="5">
        <v>-5700</v>
      </c>
      <c r="Y3" s="5"/>
      <c r="Z3" s="34">
        <v>-86000</v>
      </c>
      <c r="AA3" s="5">
        <f>SUM(D3:Y3)</f>
        <v>1656000</v>
      </c>
    </row>
    <row r="4" spans="2:27" ht="15" x14ac:dyDescent="0.25">
      <c r="B4" s="3" t="s">
        <v>12</v>
      </c>
      <c r="C4" s="4" t="s">
        <v>13</v>
      </c>
      <c r="D4" s="5">
        <v>8340000</v>
      </c>
      <c r="E4" s="5"/>
      <c r="F4" s="5">
        <v>1750000</v>
      </c>
      <c r="G4" s="5"/>
      <c r="H4" s="5">
        <v>300000</v>
      </c>
      <c r="I4" s="5">
        <v>-98</v>
      </c>
      <c r="J4" s="5"/>
      <c r="K4" s="5"/>
      <c r="L4" s="5"/>
      <c r="M4" s="5">
        <v>-6240</v>
      </c>
      <c r="N4" s="5"/>
      <c r="O4" s="5"/>
      <c r="P4" s="5"/>
      <c r="Q4" s="5"/>
      <c r="R4" s="5"/>
      <c r="S4" s="5"/>
      <c r="T4" s="5"/>
      <c r="U4" s="5"/>
      <c r="V4" s="5"/>
      <c r="W4" s="5">
        <v>647850</v>
      </c>
      <c r="X4" s="5"/>
      <c r="Y4" s="5"/>
      <c r="Z4" s="5">
        <v>217000</v>
      </c>
      <c r="AA4" s="5">
        <f t="shared" ref="AA4:AA46" si="0">SUM(D4:Y4)</f>
        <v>11031512</v>
      </c>
    </row>
    <row r="5" spans="2:27" ht="15" x14ac:dyDescent="0.25">
      <c r="B5" s="3" t="s">
        <v>14</v>
      </c>
      <c r="C5" s="4" t="s">
        <v>15</v>
      </c>
      <c r="D5" s="5">
        <v>1000000</v>
      </c>
      <c r="E5" s="5"/>
      <c r="F5" s="5">
        <v>-350000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>
        <v>-26000</v>
      </c>
      <c r="X5" s="5"/>
      <c r="Y5" s="5"/>
      <c r="Z5" s="5"/>
      <c r="AA5" s="5">
        <f t="shared" si="0"/>
        <v>624000</v>
      </c>
    </row>
    <row r="6" spans="2:27" ht="15" x14ac:dyDescent="0.25">
      <c r="B6" s="3" t="s">
        <v>16</v>
      </c>
      <c r="C6" s="4" t="s">
        <v>17</v>
      </c>
      <c r="D6" s="5">
        <v>1502000</v>
      </c>
      <c r="E6" s="5"/>
      <c r="F6" s="5">
        <v>-100000</v>
      </c>
      <c r="G6" s="5"/>
      <c r="H6" s="5"/>
      <c r="I6" s="5"/>
      <c r="J6" s="5"/>
      <c r="K6" s="5"/>
      <c r="L6" s="5"/>
      <c r="M6" s="5">
        <v>-9959</v>
      </c>
      <c r="N6" s="5"/>
      <c r="O6" s="5"/>
      <c r="P6" s="5"/>
      <c r="Q6" s="5"/>
      <c r="R6" s="5"/>
      <c r="S6" s="5"/>
      <c r="T6" s="5"/>
      <c r="U6" s="5"/>
      <c r="V6" s="5"/>
      <c r="W6" s="5">
        <v>-30000</v>
      </c>
      <c r="X6" s="5"/>
      <c r="Y6" s="5"/>
      <c r="Z6" s="5"/>
      <c r="AA6" s="5">
        <f t="shared" si="0"/>
        <v>1362041</v>
      </c>
    </row>
    <row r="7" spans="2:27" ht="30" x14ac:dyDescent="0.25">
      <c r="B7" s="3" t="s">
        <v>18</v>
      </c>
      <c r="C7" s="4" t="s">
        <v>19</v>
      </c>
      <c r="D7" s="5">
        <v>270000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>
        <f t="shared" si="0"/>
        <v>270000</v>
      </c>
    </row>
    <row r="8" spans="2:27" ht="30" x14ac:dyDescent="0.25">
      <c r="B8" s="3" t="s">
        <v>20</v>
      </c>
      <c r="C8" s="4" t="s">
        <v>21</v>
      </c>
      <c r="D8" s="5">
        <f>D9+D10</f>
        <v>10000000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>
        <f>AA9+AA10</f>
        <v>8100030</v>
      </c>
    </row>
    <row r="9" spans="2:27" ht="30" x14ac:dyDescent="0.25">
      <c r="B9" s="7" t="s">
        <v>22</v>
      </c>
      <c r="C9" s="8" t="s">
        <v>21</v>
      </c>
      <c r="D9" s="9">
        <v>7975000</v>
      </c>
      <c r="E9" s="5"/>
      <c r="F9" s="5"/>
      <c r="G9" s="5"/>
      <c r="H9" s="5"/>
      <c r="I9" s="5"/>
      <c r="J9" s="5"/>
      <c r="K9" s="5">
        <v>-115000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>
        <f t="shared" si="0"/>
        <v>7860000</v>
      </c>
    </row>
    <row r="10" spans="2:27" ht="75" x14ac:dyDescent="0.25">
      <c r="B10" s="7" t="s">
        <v>23</v>
      </c>
      <c r="C10" s="8" t="s">
        <v>24</v>
      </c>
      <c r="D10" s="9">
        <v>2025000</v>
      </c>
      <c r="E10" s="5"/>
      <c r="F10" s="5"/>
      <c r="G10" s="5"/>
      <c r="H10" s="5"/>
      <c r="I10" s="5"/>
      <c r="J10" s="5"/>
      <c r="K10" s="5"/>
      <c r="L10" s="5">
        <v>-1784970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>
        <f t="shared" si="0"/>
        <v>240030</v>
      </c>
    </row>
    <row r="11" spans="2:27" ht="15" x14ac:dyDescent="0.25">
      <c r="B11" s="3" t="s">
        <v>25</v>
      </c>
      <c r="C11" s="4" t="s">
        <v>26</v>
      </c>
      <c r="D11" s="5">
        <f>D12+D13+D14</f>
        <v>11850000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>
        <f>AA12+AA13+AA14</f>
        <v>11607900</v>
      </c>
    </row>
    <row r="12" spans="2:27" ht="15" x14ac:dyDescent="0.25">
      <c r="B12" s="3" t="s">
        <v>28</v>
      </c>
      <c r="C12" s="4" t="s">
        <v>26</v>
      </c>
      <c r="D12" s="5">
        <v>10000000</v>
      </c>
      <c r="E12" s="29"/>
      <c r="F12" s="10"/>
      <c r="G12" s="29"/>
      <c r="H12" s="29"/>
      <c r="I12" s="29"/>
      <c r="J12" s="29"/>
      <c r="K12" s="10">
        <v>100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10"/>
      <c r="X12" s="10"/>
      <c r="Y12" s="10"/>
      <c r="Z12" s="32"/>
      <c r="AA12" s="10">
        <f t="shared" si="0"/>
        <v>10000100</v>
      </c>
    </row>
    <row r="13" spans="2:27" ht="75" x14ac:dyDescent="0.25">
      <c r="B13" s="3" t="s">
        <v>29</v>
      </c>
      <c r="C13" s="4" t="s">
        <v>30</v>
      </c>
      <c r="D13" s="5">
        <v>1000000</v>
      </c>
      <c r="E13" s="29"/>
      <c r="F13" s="10">
        <v>-90000</v>
      </c>
      <c r="G13" s="29"/>
      <c r="H13" s="29"/>
      <c r="I13" s="10">
        <v>-31040</v>
      </c>
      <c r="J13" s="29"/>
      <c r="K13" s="10">
        <v>40</v>
      </c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10"/>
      <c r="X13" s="10"/>
      <c r="Y13" s="10"/>
      <c r="Z13" s="32">
        <v>8500</v>
      </c>
      <c r="AA13" s="10">
        <f t="shared" si="0"/>
        <v>879000</v>
      </c>
    </row>
    <row r="14" spans="2:27" ht="60" x14ac:dyDescent="0.25">
      <c r="B14" s="3" t="s">
        <v>31</v>
      </c>
      <c r="C14" s="4" t="s">
        <v>32</v>
      </c>
      <c r="D14" s="5">
        <v>850000</v>
      </c>
      <c r="E14" s="29"/>
      <c r="F14" s="10"/>
      <c r="G14" s="29"/>
      <c r="H14" s="10">
        <v>-100000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10">
        <v>-21200</v>
      </c>
      <c r="X14" s="10"/>
      <c r="Y14" s="10"/>
      <c r="Z14" s="32">
        <v>-13000</v>
      </c>
      <c r="AA14" s="10">
        <f t="shared" si="0"/>
        <v>728800</v>
      </c>
    </row>
    <row r="15" spans="2:27" ht="15" x14ac:dyDescent="0.25">
      <c r="B15" s="3" t="s">
        <v>33</v>
      </c>
      <c r="C15" s="15" t="s">
        <v>34</v>
      </c>
      <c r="D15" s="5">
        <f>D16+D17+D18</f>
        <v>6400000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>
        <f>AA19+AA20+AA21</f>
        <v>5892731</v>
      </c>
    </row>
    <row r="16" spans="2:27" ht="15" hidden="1" x14ac:dyDescent="0.25">
      <c r="B16" s="7" t="s">
        <v>35</v>
      </c>
      <c r="C16" s="14" t="s">
        <v>34</v>
      </c>
      <c r="D16" s="5">
        <v>4000000</v>
      </c>
      <c r="E16" s="29"/>
      <c r="F16" s="10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10"/>
      <c r="X16" s="10"/>
      <c r="Y16" s="10"/>
      <c r="Z16" s="32"/>
      <c r="AA16" s="10">
        <f t="shared" si="0"/>
        <v>4000000</v>
      </c>
    </row>
    <row r="17" spans="2:27" ht="63.75" hidden="1" x14ac:dyDescent="0.25">
      <c r="B17" s="7" t="s">
        <v>36</v>
      </c>
      <c r="C17" s="14" t="s">
        <v>37</v>
      </c>
      <c r="D17" s="5">
        <v>700000</v>
      </c>
      <c r="E17" s="29"/>
      <c r="F17" s="10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10"/>
      <c r="X17" s="10"/>
      <c r="Y17" s="10"/>
      <c r="Z17" s="32"/>
      <c r="AA17" s="10">
        <f t="shared" si="0"/>
        <v>700000</v>
      </c>
    </row>
    <row r="18" spans="2:27" ht="114.75" hidden="1" x14ac:dyDescent="0.25">
      <c r="B18" s="7" t="s">
        <v>38</v>
      </c>
      <c r="C18" s="14" t="s">
        <v>39</v>
      </c>
      <c r="D18" s="5">
        <v>1700000</v>
      </c>
      <c r="E18" s="29"/>
      <c r="F18" s="10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10"/>
      <c r="X18" s="10"/>
      <c r="Y18" s="10"/>
      <c r="Z18" s="32"/>
      <c r="AA18" s="10">
        <f t="shared" si="0"/>
        <v>1700000</v>
      </c>
    </row>
    <row r="19" spans="2:27" ht="15" x14ac:dyDescent="0.25">
      <c r="B19" s="3" t="s">
        <v>35</v>
      </c>
      <c r="C19" s="15" t="s">
        <v>34</v>
      </c>
      <c r="D19" s="5">
        <v>4000000</v>
      </c>
      <c r="E19" s="29"/>
      <c r="F19" s="10"/>
      <c r="G19" s="29"/>
      <c r="H19" s="29"/>
      <c r="I19" s="29"/>
      <c r="J19" s="29"/>
      <c r="K19" s="10">
        <v>180100</v>
      </c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10"/>
      <c r="X19" s="10"/>
      <c r="Y19" s="10"/>
      <c r="Z19" s="32"/>
      <c r="AA19" s="10">
        <f t="shared" si="0"/>
        <v>4180100</v>
      </c>
    </row>
    <row r="20" spans="2:27" ht="63.75" x14ac:dyDescent="0.25">
      <c r="B20" s="3" t="s">
        <v>36</v>
      </c>
      <c r="C20" s="15" t="s">
        <v>37</v>
      </c>
      <c r="D20" s="5">
        <v>700000</v>
      </c>
      <c r="E20" s="29"/>
      <c r="F20" s="10">
        <v>-250000</v>
      </c>
      <c r="G20" s="29"/>
      <c r="H20" s="29"/>
      <c r="I20" s="29"/>
      <c r="J20" s="29"/>
      <c r="K20" s="29"/>
      <c r="L20" s="29"/>
      <c r="M20" s="10">
        <v>-7369</v>
      </c>
      <c r="N20" s="29"/>
      <c r="O20" s="29"/>
      <c r="P20" s="29"/>
      <c r="Q20" s="29"/>
      <c r="R20" s="29"/>
      <c r="S20" s="29"/>
      <c r="T20" s="29"/>
      <c r="U20" s="29"/>
      <c r="V20" s="29"/>
      <c r="W20" s="10"/>
      <c r="X20" s="10"/>
      <c r="Y20" s="10"/>
      <c r="Z20" s="32">
        <v>-4000</v>
      </c>
      <c r="AA20" s="10">
        <f t="shared" si="0"/>
        <v>442631</v>
      </c>
    </row>
    <row r="21" spans="2:27" ht="114.75" x14ac:dyDescent="0.25">
      <c r="B21" s="3" t="s">
        <v>38</v>
      </c>
      <c r="C21" s="15" t="s">
        <v>39</v>
      </c>
      <c r="D21" s="5">
        <v>1700000</v>
      </c>
      <c r="E21" s="29"/>
      <c r="F21" s="10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10">
        <v>-430000</v>
      </c>
      <c r="X21" s="10"/>
      <c r="Y21" s="10"/>
      <c r="Z21" s="32">
        <v>-111500</v>
      </c>
      <c r="AA21" s="10">
        <f t="shared" si="0"/>
        <v>1270000</v>
      </c>
    </row>
    <row r="22" spans="2:27" ht="25.5" x14ac:dyDescent="0.25">
      <c r="B22" s="3" t="s">
        <v>40</v>
      </c>
      <c r="C22" s="15" t="s">
        <v>41</v>
      </c>
      <c r="D22" s="5">
        <f>D23+D24</f>
        <v>6000000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>
        <f>AA25+AA26</f>
        <v>6133395</v>
      </c>
    </row>
    <row r="23" spans="2:27" ht="25.5" hidden="1" x14ac:dyDescent="0.25">
      <c r="B23" s="7" t="s">
        <v>42</v>
      </c>
      <c r="C23" s="14" t="s">
        <v>41</v>
      </c>
      <c r="D23" s="5">
        <v>5459000</v>
      </c>
      <c r="E23" s="29"/>
      <c r="F23" s="10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10"/>
      <c r="X23" s="10"/>
      <c r="Y23" s="10"/>
      <c r="Z23" s="32"/>
      <c r="AA23" s="10">
        <f t="shared" si="0"/>
        <v>5459000</v>
      </c>
    </row>
    <row r="24" spans="2:27" ht="76.5" hidden="1" x14ac:dyDescent="0.25">
      <c r="B24" s="7" t="s">
        <v>43</v>
      </c>
      <c r="C24" s="14" t="s">
        <v>44</v>
      </c>
      <c r="D24" s="5">
        <v>541000</v>
      </c>
      <c r="E24" s="29"/>
      <c r="F24" s="10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10"/>
      <c r="X24" s="10"/>
      <c r="Y24" s="10"/>
      <c r="Z24" s="32"/>
      <c r="AA24" s="10">
        <f t="shared" si="0"/>
        <v>541000</v>
      </c>
    </row>
    <row r="25" spans="2:27" ht="25.5" x14ac:dyDescent="0.25">
      <c r="B25" s="3" t="s">
        <v>42</v>
      </c>
      <c r="C25" s="15" t="s">
        <v>41</v>
      </c>
      <c r="D25" s="5">
        <v>5459000</v>
      </c>
      <c r="E25" s="29"/>
      <c r="F25" s="10"/>
      <c r="G25" s="29"/>
      <c r="H25" s="29"/>
      <c r="I25" s="29"/>
      <c r="J25" s="29"/>
      <c r="K25" s="10">
        <v>340900</v>
      </c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10"/>
      <c r="X25" s="10"/>
      <c r="Y25" s="10"/>
      <c r="Z25" s="32"/>
      <c r="AA25" s="10">
        <f t="shared" si="0"/>
        <v>5799900</v>
      </c>
    </row>
    <row r="26" spans="2:27" ht="76.5" x14ac:dyDescent="0.25">
      <c r="B26" s="3" t="s">
        <v>43</v>
      </c>
      <c r="C26" s="15" t="s">
        <v>44</v>
      </c>
      <c r="D26" s="5">
        <v>541000</v>
      </c>
      <c r="E26" s="29"/>
      <c r="F26" s="10">
        <v>-80000</v>
      </c>
      <c r="G26" s="29"/>
      <c r="H26" s="29"/>
      <c r="I26" s="29"/>
      <c r="J26" s="29"/>
      <c r="K26" s="10">
        <v>-60600</v>
      </c>
      <c r="L26" s="29"/>
      <c r="M26" s="10">
        <v>-83277</v>
      </c>
      <c r="N26" s="29"/>
      <c r="O26" s="29"/>
      <c r="P26" s="29"/>
      <c r="Q26" s="10">
        <v>40000</v>
      </c>
      <c r="R26" s="29"/>
      <c r="S26" s="29"/>
      <c r="T26" s="29"/>
      <c r="U26" s="29"/>
      <c r="V26" s="29"/>
      <c r="W26" s="10"/>
      <c r="X26" s="10">
        <v>-23628</v>
      </c>
      <c r="Y26" s="10"/>
      <c r="Z26" s="32"/>
      <c r="AA26" s="10">
        <f t="shared" si="0"/>
        <v>333495</v>
      </c>
    </row>
    <row r="27" spans="2:27" ht="15" x14ac:dyDescent="0.25">
      <c r="B27" s="3" t="s">
        <v>45</v>
      </c>
      <c r="C27" s="4" t="s">
        <v>46</v>
      </c>
      <c r="D27" s="5">
        <v>4800000</v>
      </c>
      <c r="E27" s="5"/>
      <c r="F27" s="5"/>
      <c r="G27" s="5"/>
      <c r="H27" s="5"/>
      <c r="I27" s="5">
        <v>-215</v>
      </c>
      <c r="J27" s="5"/>
      <c r="K27" s="5">
        <v>-446385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>
        <v>-5677</v>
      </c>
      <c r="Y27" s="5"/>
      <c r="Z27" s="5"/>
      <c r="AA27" s="5">
        <f t="shared" si="0"/>
        <v>4347723</v>
      </c>
    </row>
    <row r="28" spans="2:27" ht="30" x14ac:dyDescent="0.25">
      <c r="B28" s="3" t="s">
        <v>47</v>
      </c>
      <c r="C28" s="4" t="s">
        <v>48</v>
      </c>
      <c r="D28" s="5">
        <v>200000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>
        <v>-25800</v>
      </c>
      <c r="X28" s="5">
        <v>-23910</v>
      </c>
      <c r="Y28" s="5"/>
      <c r="Z28" s="5"/>
      <c r="AA28" s="5">
        <f t="shared" si="0"/>
        <v>150290</v>
      </c>
    </row>
    <row r="29" spans="2:27" ht="15" x14ac:dyDescent="0.25">
      <c r="B29" s="3" t="s">
        <v>51</v>
      </c>
      <c r="C29" s="4" t="s">
        <v>52</v>
      </c>
      <c r="D29" s="5">
        <v>15000000</v>
      </c>
      <c r="E29" s="5"/>
      <c r="F29" s="5"/>
      <c r="G29" s="5"/>
      <c r="H29" s="5"/>
      <c r="I29" s="5"/>
      <c r="J29" s="5"/>
      <c r="K29" s="5">
        <v>645400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>
        <f t="shared" si="0"/>
        <v>15645400</v>
      </c>
    </row>
    <row r="30" spans="2:27" ht="15" x14ac:dyDescent="0.25">
      <c r="B30" s="3" t="s">
        <v>53</v>
      </c>
      <c r="C30" s="4" t="s">
        <v>54</v>
      </c>
      <c r="D30" s="5">
        <v>6500000</v>
      </c>
      <c r="E30" s="5"/>
      <c r="F30" s="5"/>
      <c r="G30" s="5"/>
      <c r="H30" s="5"/>
      <c r="I30" s="5"/>
      <c r="J30" s="5"/>
      <c r="K30" s="5">
        <v>1156100</v>
      </c>
      <c r="L30" s="5"/>
      <c r="M30" s="5">
        <v>-1780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>
        <f t="shared" si="0"/>
        <v>7654320</v>
      </c>
    </row>
    <row r="31" spans="2:27" ht="30" x14ac:dyDescent="0.25">
      <c r="B31" s="3" t="s">
        <v>55</v>
      </c>
      <c r="C31" s="4" t="s">
        <v>56</v>
      </c>
      <c r="D31" s="5">
        <v>2000000</v>
      </c>
      <c r="E31" s="5"/>
      <c r="F31" s="5"/>
      <c r="G31" s="5"/>
      <c r="H31" s="5"/>
      <c r="I31" s="5"/>
      <c r="J31" s="5"/>
      <c r="K31" s="5">
        <v>-726000</v>
      </c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>
        <f t="shared" si="0"/>
        <v>1274000</v>
      </c>
    </row>
    <row r="32" spans="2:27" ht="25.5" x14ac:dyDescent="0.25">
      <c r="B32" s="3" t="s">
        <v>57</v>
      </c>
      <c r="C32" s="15" t="s">
        <v>58</v>
      </c>
      <c r="D32" s="5">
        <f>D33+D34</f>
        <v>29465000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>
        <f>AA35+AA36</f>
        <v>30883045</v>
      </c>
    </row>
    <row r="33" spans="2:27" ht="25.5" hidden="1" x14ac:dyDescent="0.25">
      <c r="B33" s="7" t="s">
        <v>59</v>
      </c>
      <c r="C33" s="14" t="s">
        <v>58</v>
      </c>
      <c r="D33" s="5">
        <v>13597000</v>
      </c>
      <c r="E33" s="29"/>
      <c r="F33" s="10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10"/>
      <c r="X33" s="10"/>
      <c r="Y33" s="10"/>
      <c r="Z33" s="32"/>
      <c r="AA33" s="10">
        <f t="shared" si="0"/>
        <v>13597000</v>
      </c>
    </row>
    <row r="34" spans="2:27" ht="63.75" hidden="1" x14ac:dyDescent="0.25">
      <c r="B34" s="7" t="s">
        <v>60</v>
      </c>
      <c r="C34" s="14" t="s">
        <v>61</v>
      </c>
      <c r="D34" s="5">
        <v>15868000</v>
      </c>
      <c r="E34" s="29"/>
      <c r="F34" s="10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10"/>
      <c r="X34" s="10"/>
      <c r="Y34" s="10"/>
      <c r="Z34" s="32"/>
      <c r="AA34" s="10">
        <f t="shared" si="0"/>
        <v>15868000</v>
      </c>
    </row>
    <row r="35" spans="2:27" ht="25.5" x14ac:dyDescent="0.25">
      <c r="B35" s="3" t="s">
        <v>59</v>
      </c>
      <c r="C35" s="15" t="s">
        <v>58</v>
      </c>
      <c r="D35" s="5">
        <v>13597000</v>
      </c>
      <c r="E35" s="29"/>
      <c r="F35" s="10"/>
      <c r="G35" s="10">
        <v>9481401</v>
      </c>
      <c r="H35" s="29"/>
      <c r="I35" s="10">
        <v>-192649</v>
      </c>
      <c r="J35" s="29"/>
      <c r="K35" s="10">
        <v>9288</v>
      </c>
      <c r="L35" s="29"/>
      <c r="M35" s="10">
        <v>-79474</v>
      </c>
      <c r="N35" s="29"/>
      <c r="O35" s="29"/>
      <c r="P35" s="29"/>
      <c r="Q35" s="29"/>
      <c r="R35" s="29"/>
      <c r="S35" s="29"/>
      <c r="T35" s="29"/>
      <c r="U35" s="10">
        <v>2350000</v>
      </c>
      <c r="V35" s="29"/>
      <c r="W35" s="10"/>
      <c r="X35" s="10">
        <v>-419881</v>
      </c>
      <c r="Y35" s="10"/>
      <c r="Z35" s="32"/>
      <c r="AA35" s="10">
        <f t="shared" si="0"/>
        <v>24745685</v>
      </c>
    </row>
    <row r="36" spans="2:27" ht="63.75" x14ac:dyDescent="0.25">
      <c r="B36" s="3" t="s">
        <v>60</v>
      </c>
      <c r="C36" s="15" t="s">
        <v>61</v>
      </c>
      <c r="D36" s="5">
        <v>15868000</v>
      </c>
      <c r="E36" s="29"/>
      <c r="F36" s="10"/>
      <c r="G36" s="10">
        <v>-9481401</v>
      </c>
      <c r="H36" s="29"/>
      <c r="I36" s="10">
        <v>-249239</v>
      </c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10"/>
      <c r="X36" s="10"/>
      <c r="Y36" s="10"/>
      <c r="Z36" s="32"/>
      <c r="AA36" s="10">
        <f t="shared" si="0"/>
        <v>6137360</v>
      </c>
    </row>
    <row r="37" spans="2:27" ht="30" x14ac:dyDescent="0.25">
      <c r="B37" s="3" t="s">
        <v>62</v>
      </c>
      <c r="C37" s="4" t="s">
        <v>63</v>
      </c>
      <c r="D37" s="5">
        <v>2500000</v>
      </c>
      <c r="E37" s="5"/>
      <c r="F37" s="5"/>
      <c r="G37" s="5"/>
      <c r="H37" s="5"/>
      <c r="I37" s="5"/>
      <c r="J37" s="5"/>
      <c r="K37" s="5">
        <v>-984000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>
        <f t="shared" si="0"/>
        <v>1516000</v>
      </c>
    </row>
    <row r="38" spans="2:27" ht="60" x14ac:dyDescent="0.25">
      <c r="B38" s="3" t="s">
        <v>64</v>
      </c>
      <c r="C38" s="4" t="s">
        <v>65</v>
      </c>
      <c r="D38" s="5">
        <v>6000000</v>
      </c>
      <c r="E38" s="5"/>
      <c r="F38" s="5"/>
      <c r="G38" s="5"/>
      <c r="H38" s="5"/>
      <c r="I38" s="5">
        <v>-38537</v>
      </c>
      <c r="J38" s="5"/>
      <c r="K38" s="5">
        <v>57</v>
      </c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>
        <v>-319</v>
      </c>
      <c r="Y38" s="5"/>
      <c r="Z38" s="5"/>
      <c r="AA38" s="5">
        <f t="shared" si="0"/>
        <v>5961201</v>
      </c>
    </row>
    <row r="39" spans="2:27" ht="45" x14ac:dyDescent="0.25">
      <c r="B39" s="3" t="s">
        <v>66</v>
      </c>
      <c r="C39" s="4" t="s">
        <v>67</v>
      </c>
      <c r="D39" s="5">
        <f>D40+D41</f>
        <v>30000000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>
        <f>AA42+AA43</f>
        <v>31861131</v>
      </c>
    </row>
    <row r="40" spans="2:27" ht="30" hidden="1" x14ac:dyDescent="0.25">
      <c r="B40" s="7" t="s">
        <v>68</v>
      </c>
      <c r="C40" s="8" t="s">
        <v>69</v>
      </c>
      <c r="D40" s="5">
        <v>9277000</v>
      </c>
      <c r="E40" s="29"/>
      <c r="F40" s="10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10"/>
      <c r="X40" s="10"/>
      <c r="Y40" s="10"/>
      <c r="Z40" s="32"/>
      <c r="AA40" s="10">
        <f t="shared" si="0"/>
        <v>9277000</v>
      </c>
    </row>
    <row r="41" spans="2:27" ht="30" hidden="1" x14ac:dyDescent="0.25">
      <c r="B41" s="7" t="s">
        <v>70</v>
      </c>
      <c r="C41" s="8" t="s">
        <v>71</v>
      </c>
      <c r="D41" s="5">
        <v>20723000</v>
      </c>
      <c r="E41" s="29"/>
      <c r="F41" s="10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10"/>
      <c r="X41" s="10"/>
      <c r="Y41" s="10"/>
      <c r="Z41" s="32"/>
      <c r="AA41" s="10">
        <f t="shared" si="0"/>
        <v>20723000</v>
      </c>
    </row>
    <row r="42" spans="2:27" ht="30" x14ac:dyDescent="0.25">
      <c r="B42" s="3" t="s">
        <v>68</v>
      </c>
      <c r="C42" s="4" t="s">
        <v>69</v>
      </c>
      <c r="D42" s="5">
        <v>9277000</v>
      </c>
      <c r="E42" s="29"/>
      <c r="F42" s="10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10"/>
      <c r="X42" s="10"/>
      <c r="Y42" s="10"/>
      <c r="Z42" s="32"/>
      <c r="AA42" s="10">
        <f t="shared" si="0"/>
        <v>9277000</v>
      </c>
    </row>
    <row r="43" spans="2:27" ht="30" x14ac:dyDescent="0.25">
      <c r="B43" s="3" t="s">
        <v>70</v>
      </c>
      <c r="C43" s="4" t="s">
        <v>71</v>
      </c>
      <c r="D43" s="5">
        <v>20723000</v>
      </c>
      <c r="E43" s="10">
        <v>108000</v>
      </c>
      <c r="F43" s="10"/>
      <c r="G43" s="29"/>
      <c r="H43" s="29"/>
      <c r="I43" s="10">
        <v>-200489</v>
      </c>
      <c r="J43" s="10">
        <v>220000</v>
      </c>
      <c r="K43" s="29"/>
      <c r="L43" s="29"/>
      <c r="M43" s="10">
        <v>-3430</v>
      </c>
      <c r="N43" s="29"/>
      <c r="O43" s="10">
        <v>210670</v>
      </c>
      <c r="P43" s="10">
        <v>1574000</v>
      </c>
      <c r="Q43" s="29"/>
      <c r="R43" s="29"/>
      <c r="S43" s="29"/>
      <c r="T43" s="29"/>
      <c r="U43" s="29"/>
      <c r="V43" s="29"/>
      <c r="W43" s="10"/>
      <c r="X43" s="10">
        <v>-47620</v>
      </c>
      <c r="Y43" s="10"/>
      <c r="Z43" s="32"/>
      <c r="AA43" s="10">
        <f t="shared" si="0"/>
        <v>22584131</v>
      </c>
    </row>
    <row r="44" spans="2:27" ht="15" x14ac:dyDescent="0.25">
      <c r="B44" s="3" t="s">
        <v>72</v>
      </c>
      <c r="C44" s="4" t="s">
        <v>73</v>
      </c>
      <c r="D44" s="5">
        <v>25334000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>
        <v>-1050000</v>
      </c>
      <c r="S44" s="5"/>
      <c r="T44" s="5">
        <v>-100000</v>
      </c>
      <c r="U44" s="5"/>
      <c r="V44" s="5"/>
      <c r="W44" s="5"/>
      <c r="X44" s="5"/>
      <c r="Y44" s="5"/>
      <c r="Z44" s="5"/>
      <c r="AA44" s="5">
        <f t="shared" si="0"/>
        <v>24184000</v>
      </c>
    </row>
    <row r="45" spans="2:27" ht="15" x14ac:dyDescent="0.25">
      <c r="B45" s="3" t="s">
        <v>74</v>
      </c>
      <c r="C45" s="4" t="s">
        <v>75</v>
      </c>
      <c r="D45" s="5">
        <v>15000000</v>
      </c>
      <c r="E45" s="5"/>
      <c r="F45" s="5"/>
      <c r="G45" s="5"/>
      <c r="H45" s="5"/>
      <c r="I45" s="5"/>
      <c r="J45" s="5"/>
      <c r="K45" s="5"/>
      <c r="L45" s="5"/>
      <c r="M45" s="5">
        <v>246940</v>
      </c>
      <c r="N45" s="5">
        <v>500000</v>
      </c>
      <c r="O45" s="5"/>
      <c r="P45" s="5"/>
      <c r="Q45" s="5"/>
      <c r="R45" s="5">
        <v>50000</v>
      </c>
      <c r="S45" s="5">
        <v>1000000</v>
      </c>
      <c r="T45" s="5">
        <v>100000</v>
      </c>
      <c r="U45" s="5"/>
      <c r="V45" s="5">
        <v>200000</v>
      </c>
      <c r="W45" s="5"/>
      <c r="X45" s="5"/>
      <c r="Y45" s="5">
        <v>100000</v>
      </c>
      <c r="Z45" s="5">
        <v>1500000</v>
      </c>
      <c r="AA45" s="5">
        <f t="shared" si="0"/>
        <v>17196940</v>
      </c>
    </row>
    <row r="46" spans="2:27" ht="45" x14ac:dyDescent="0.25">
      <c r="B46" s="3" t="s">
        <v>76</v>
      </c>
      <c r="C46" s="4" t="s">
        <v>77</v>
      </c>
      <c r="D46" s="5">
        <v>1000000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>
        <f t="shared" si="0"/>
        <v>1000000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2015-12-15T16:41:12Z</dcterms:modified>
</cp:coreProperties>
</file>